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документы Уютный Дом\юрист\раскрытие информации\Уютный Дом\сайт\изменения 2020\"/>
    </mc:Choice>
  </mc:AlternateContent>
  <bookViews>
    <workbookView xWindow="0" yWindow="0" windowWidth="28800" windowHeight="11985" activeTab="7"/>
  </bookViews>
  <sheets>
    <sheet name="Горбачева 50" sheetId="1" r:id="rId1"/>
    <sheet name="Дерендяева, 44" sheetId="2" r:id="rId2"/>
    <sheet name="Казанская, 90" sheetId="3" r:id="rId3"/>
    <sheet name="Ленина 52Б" sheetId="4" r:id="rId4"/>
    <sheet name="Ленина 114б" sheetId="5" r:id="rId5"/>
    <sheet name="М.Гвардии 11А" sheetId="6" r:id="rId6"/>
    <sheet name="Свободы, 84" sheetId="7" r:id="rId7"/>
    <sheet name="Свободы, 113а" sheetId="8" r:id="rId8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8" l="1"/>
  <c r="G30" i="8" s="1"/>
  <c r="G9" i="8" s="1"/>
  <c r="G14" i="8"/>
  <c r="G15" i="8"/>
  <c r="G16" i="8"/>
  <c r="G17" i="8"/>
  <c r="G19" i="8"/>
  <c r="G21" i="8"/>
  <c r="G23" i="8"/>
  <c r="G24" i="8"/>
  <c r="G25" i="8"/>
  <c r="G26" i="8"/>
  <c r="G29" i="7" l="1"/>
  <c r="G24" i="7"/>
  <c r="G31" i="7" s="1"/>
  <c r="G16" i="7"/>
  <c r="G15" i="7"/>
  <c r="G14" i="7"/>
  <c r="G13" i="7"/>
  <c r="G18" i="7" s="1"/>
  <c r="G9" i="7" s="1"/>
  <c r="G18" i="6" l="1"/>
  <c r="G16" i="6"/>
  <c r="G15" i="6"/>
  <c r="G14" i="6"/>
  <c r="G13" i="6"/>
  <c r="G21" i="6" s="1"/>
  <c r="G9" i="6" s="1"/>
  <c r="G22" i="6" l="1"/>
  <c r="G25" i="6"/>
  <c r="G22" i="5"/>
  <c r="G21" i="5"/>
  <c r="G19" i="5"/>
  <c r="G18" i="5"/>
  <c r="G16" i="5"/>
  <c r="G15" i="5"/>
  <c r="G14" i="5"/>
  <c r="G13" i="5"/>
  <c r="G25" i="5" s="1"/>
  <c r="G9" i="5" s="1"/>
  <c r="G22" i="4" l="1"/>
  <c r="G21" i="4"/>
  <c r="G19" i="4"/>
  <c r="G18" i="4"/>
  <c r="G17" i="4"/>
  <c r="G16" i="4"/>
  <c r="G15" i="4"/>
  <c r="G14" i="4"/>
  <c r="G24" i="4" s="1"/>
  <c r="G9" i="4" s="1"/>
  <c r="G13" i="4"/>
  <c r="G29" i="4" l="1"/>
  <c r="G31" i="4"/>
  <c r="G43" i="3"/>
  <c r="G42" i="3"/>
  <c r="G41" i="3"/>
  <c r="G38" i="3"/>
  <c r="G35" i="3"/>
  <c r="G44" i="3" s="1"/>
  <c r="G32" i="3"/>
  <c r="G46" i="3" s="1"/>
  <c r="G23" i="3"/>
  <c r="G22" i="3"/>
  <c r="G18" i="3"/>
  <c r="G17" i="3"/>
  <c r="G16" i="3"/>
  <c r="G15" i="3"/>
  <c r="G14" i="3"/>
  <c r="G13" i="3"/>
  <c r="G26" i="3" s="1"/>
  <c r="G9" i="3" s="1"/>
  <c r="G29" i="2" l="1"/>
  <c r="G25" i="2"/>
  <c r="G23" i="2"/>
  <c r="G21" i="2"/>
  <c r="G20" i="2"/>
  <c r="G18" i="2"/>
  <c r="G17" i="2"/>
  <c r="G16" i="2"/>
  <c r="G15" i="2"/>
  <c r="G14" i="2"/>
  <c r="G13" i="2"/>
  <c r="G31" i="2" s="1"/>
  <c r="G9" i="2" s="1"/>
  <c r="G13" i="1" l="1"/>
  <c r="G14" i="1"/>
  <c r="G15" i="1"/>
  <c r="G16" i="1"/>
  <c r="G18" i="1"/>
  <c r="G20" i="1"/>
  <c r="G22" i="1"/>
  <c r="G23" i="1"/>
  <c r="G24" i="1"/>
  <c r="G27" i="1"/>
  <c r="G28" i="1"/>
  <c r="G32" i="1"/>
  <c r="G9" i="1" s="1"/>
</calcChain>
</file>

<file path=xl/sharedStrings.xml><?xml version="1.0" encoding="utf-8"?>
<sst xmlns="http://schemas.openxmlformats.org/spreadsheetml/2006/main" count="221" uniqueCount="83">
  <si>
    <t>ИТОГО расходы:</t>
  </si>
  <si>
    <t>69 000 руб.</t>
  </si>
  <si>
    <t>Вознаграждение председателю</t>
  </si>
  <si>
    <t>Материалы, инвентарь</t>
  </si>
  <si>
    <t>Мытье окон</t>
  </si>
  <si>
    <t>Поверка теплосчетчика</t>
  </si>
  <si>
    <t>Измельчение веток и вывоз</t>
  </si>
  <si>
    <t>Механизированная очистка придомовой территории от снега (2)</t>
  </si>
  <si>
    <t>Ремонт ворот  (3)</t>
  </si>
  <si>
    <t>Установка видеонаблюдения</t>
  </si>
  <si>
    <t>Услуги сети Интернет</t>
  </si>
  <si>
    <t>Дезинфекция</t>
  </si>
  <si>
    <t>Очистка кровли от снега и наледи (2)</t>
  </si>
  <si>
    <t>Ремонт водосточной системы</t>
  </si>
  <si>
    <t xml:space="preserve"> Уборка лестничных клеток</t>
  </si>
  <si>
    <t xml:space="preserve"> Работы по санитарной уборке придомовой территории</t>
  </si>
  <si>
    <t>13 845 руб.</t>
  </si>
  <si>
    <t xml:space="preserve"> Аварийная служба</t>
  </si>
  <si>
    <t>Техническое обслуживание дома</t>
  </si>
  <si>
    <t>в т.ч.</t>
  </si>
  <si>
    <t>Расходы:</t>
  </si>
  <si>
    <t>Доходы:</t>
  </si>
  <si>
    <t>Руб.</t>
  </si>
  <si>
    <t>за период с 01.01.2020г. по 31.12.2020г.</t>
  </si>
  <si>
    <t>многоквартирного дома по адресу: Горбачева, 50</t>
  </si>
  <si>
    <t>по управлению, содержанию и ремонту общего имущества</t>
  </si>
  <si>
    <t>управляющей компании ООО «УК Уютный Дом»</t>
  </si>
  <si>
    <t xml:space="preserve">Отчет </t>
  </si>
  <si>
    <t>многоквартирного дома по адресу Дерендяева, 44</t>
  </si>
  <si>
    <t>Затраты на управление</t>
  </si>
  <si>
    <t>Обслуживание домофона</t>
  </si>
  <si>
    <t>ТО газораспределительных сетей</t>
  </si>
  <si>
    <t>Содержание контейнерной площадки</t>
  </si>
  <si>
    <t>Очистка кровли от снега и наледи  (2)</t>
  </si>
  <si>
    <t>Ремонт теплосчетчика</t>
  </si>
  <si>
    <t xml:space="preserve">Частичный ремонт кровли </t>
  </si>
  <si>
    <t>Механизированная очистка придомовой территории от снега (3)</t>
  </si>
  <si>
    <t>Дезинфекция подъезда</t>
  </si>
  <si>
    <t>Покос травы</t>
  </si>
  <si>
    <t>многоквартирного дома по адресу: Казанская, 90</t>
  </si>
  <si>
    <t>Работы по санитарной уборке придомовой территории</t>
  </si>
  <si>
    <t>Уборка лестничных клеток</t>
  </si>
  <si>
    <t>Обслуживание лифтов</t>
  </si>
  <si>
    <t>Ремонт теплообменника</t>
  </si>
  <si>
    <t>Ремонт гидроизоляции на парковке</t>
  </si>
  <si>
    <t xml:space="preserve">Материалы </t>
  </si>
  <si>
    <t>Прочистка ливневой канализации (2)</t>
  </si>
  <si>
    <t>Фонд текущего ремонта</t>
  </si>
  <si>
    <t>Остаток на 01.01.2020</t>
  </si>
  <si>
    <t xml:space="preserve">Начислено </t>
  </si>
  <si>
    <t>Израсходовано, в том числе :</t>
  </si>
  <si>
    <t>тех.освидетельствование и страхование лифта</t>
  </si>
  <si>
    <t>прочистка вентканалов</t>
  </si>
  <si>
    <t>ремонт теплообменника</t>
  </si>
  <si>
    <t>ремонт шлагбаума (3)</t>
  </si>
  <si>
    <t>асфальтирование</t>
  </si>
  <si>
    <t>прочистка ливневки</t>
  </si>
  <si>
    <t xml:space="preserve">материалы </t>
  </si>
  <si>
    <t>очистка кровли (3)</t>
  </si>
  <si>
    <t>Механизированная очистка придомовой территории от снега(2)</t>
  </si>
  <si>
    <t>Всего</t>
  </si>
  <si>
    <t>Остаток на 31.12.2020г.</t>
  </si>
  <si>
    <t>многоквартирного дома по адресу: Ленина, 52Б</t>
  </si>
  <si>
    <t>Содежание контейнерной площадки</t>
  </si>
  <si>
    <t>Механизированная очистка придомовой территории от снега(1)</t>
  </si>
  <si>
    <t>многоквартирного дома по адресу: Ленина, 114Б</t>
  </si>
  <si>
    <t>Поверка водосчетчика</t>
  </si>
  <si>
    <t>Механизированная очистка придомовой территории от снега (4)</t>
  </si>
  <si>
    <t>многоквартирного дома по адресу: Молодой Гвардии, 11а</t>
  </si>
  <si>
    <t>Очистка кровель от снега и наледи</t>
  </si>
  <si>
    <t>Ремонт кровли</t>
  </si>
  <si>
    <t>многоквартирного дома по адресу: Свободы, 84</t>
  </si>
  <si>
    <t>за период с 01.10.2020г. по 31.12.2020г.</t>
  </si>
  <si>
    <t>Вывоз мусора (4)</t>
  </si>
  <si>
    <t>Остаток на 01.10.2020</t>
  </si>
  <si>
    <t>многоквартирного дома по адресу: Свободы, 113а</t>
  </si>
  <si>
    <t>Вывоз мусора</t>
  </si>
  <si>
    <t>Прочистка вентканалов</t>
  </si>
  <si>
    <t>Очистка кровли от снега и наледи (4)</t>
  </si>
  <si>
    <t xml:space="preserve">Дезинсекция </t>
  </si>
  <si>
    <t>Дезинфекция (2)</t>
  </si>
  <si>
    <t>Механизированная очистка придомовой территории от снега(4)</t>
  </si>
  <si>
    <t>Доступ в Интернет для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</si>
</sst>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1" fontId="2" fillId="0" borderId="0" xfId="0" applyNumberFormat="1" applyFont="1"/>
    <xf numFmtId="0" fontId="3" fillId="0" borderId="0" xfId="0" applyFont="1" applyAlignment="1">
      <alignment horizontal="justify"/>
    </xf>
    <xf numFmtId="3" fontId="4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justify"/>
    </xf>
    <xf numFmtId="3" fontId="0" fillId="0" borderId="0" xfId="0" applyNumberFormat="1"/>
    <xf numFmtId="0" fontId="5" fillId="0" borderId="0" xfId="0" applyFont="1"/>
    <xf numFmtId="3" fontId="3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justify"/>
    </xf>
    <xf numFmtId="3" fontId="2" fillId="0" borderId="1" xfId="0" applyNumberFormat="1" applyFont="1" applyBorder="1"/>
    <xf numFmtId="0" fontId="2" fillId="0" borderId="1" xfId="0" applyFont="1" applyBorder="1"/>
    <xf numFmtId="3" fontId="0" fillId="0" borderId="1" xfId="0" applyNumberFormat="1" applyBorder="1"/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4" workbookViewId="0">
      <selection activeCell="I22" sqref="I22"/>
    </sheetView>
  </sheetViews>
  <sheetFormatPr defaultRowHeight="15" x14ac:dyDescent="0.25"/>
  <cols>
    <col min="1" max="1" width="5.7109375" customWidth="1"/>
    <col min="2" max="2" width="65.28515625" customWidth="1"/>
    <col min="3" max="6" width="0" hidden="1" customWidth="1"/>
    <col min="7" max="7" width="16.28515625" customWidth="1"/>
    <col min="12" max="12" width="34.85546875" customWidth="1"/>
  </cols>
  <sheetData>
    <row r="1" spans="1:11" ht="18.75" x14ac:dyDescent="0.3">
      <c r="B1" s="14" t="s">
        <v>27</v>
      </c>
    </row>
    <row r="2" spans="1:11" ht="18.75" x14ac:dyDescent="0.3">
      <c r="B2" s="13" t="s">
        <v>26</v>
      </c>
    </row>
    <row r="3" spans="1:11" ht="18.75" x14ac:dyDescent="0.3">
      <c r="B3" s="13" t="s">
        <v>25</v>
      </c>
    </row>
    <row r="4" spans="1:11" ht="18.75" x14ac:dyDescent="0.3">
      <c r="B4" s="13" t="s">
        <v>24</v>
      </c>
    </row>
    <row r="6" spans="1:11" ht="18.75" x14ac:dyDescent="0.3">
      <c r="B6" s="12" t="s">
        <v>23</v>
      </c>
    </row>
    <row r="8" spans="1:11" x14ac:dyDescent="0.25">
      <c r="G8" s="11" t="s">
        <v>22</v>
      </c>
    </row>
    <row r="9" spans="1:11" ht="18.75" x14ac:dyDescent="0.3">
      <c r="B9" s="9" t="s">
        <v>21</v>
      </c>
      <c r="G9" s="10">
        <f>G32</f>
        <v>479787.97999999992</v>
      </c>
    </row>
    <row r="10" spans="1:11" x14ac:dyDescent="0.25">
      <c r="G10" s="8"/>
    </row>
    <row r="11" spans="1:11" ht="18.75" x14ac:dyDescent="0.3">
      <c r="B11" s="9" t="s">
        <v>20</v>
      </c>
      <c r="G11" s="8"/>
    </row>
    <row r="12" spans="1:11" ht="18.75" x14ac:dyDescent="0.3">
      <c r="B12" s="9" t="s">
        <v>19</v>
      </c>
      <c r="G12" s="8"/>
    </row>
    <row r="13" spans="1:11" ht="15.75" customHeight="1" x14ac:dyDescent="0.25">
      <c r="A13">
        <v>1</v>
      </c>
      <c r="B13" s="7" t="s">
        <v>18</v>
      </c>
      <c r="G13" s="6">
        <f>2553.4*7*12</f>
        <v>214485.59999999998</v>
      </c>
      <c r="H13" s="7"/>
      <c r="K13" s="2"/>
    </row>
    <row r="14" spans="1:11" ht="15.75" customHeight="1" x14ac:dyDescent="0.25">
      <c r="A14">
        <v>2</v>
      </c>
      <c r="B14" s="7" t="s">
        <v>17</v>
      </c>
      <c r="E14" s="7" t="s">
        <v>16</v>
      </c>
      <c r="G14" s="6">
        <f>2553.4*0.4*12</f>
        <v>12256.320000000002</v>
      </c>
    </row>
    <row r="15" spans="1:11" ht="15.75" customHeight="1" x14ac:dyDescent="0.25">
      <c r="A15">
        <v>3</v>
      </c>
      <c r="B15" s="7" t="s">
        <v>15</v>
      </c>
      <c r="G15" s="6">
        <f>4384.95*4+2200*3+1100+1461.65+4385*2</f>
        <v>35471.449999999997</v>
      </c>
    </row>
    <row r="16" spans="1:11" ht="15.75" customHeight="1" x14ac:dyDescent="0.25">
      <c r="A16">
        <v>4</v>
      </c>
      <c r="B16" s="7" t="s">
        <v>14</v>
      </c>
      <c r="G16" s="6">
        <f>1900.15*12</f>
        <v>22801.800000000003</v>
      </c>
      <c r="J16" s="7"/>
    </row>
    <row r="17" spans="1:10" ht="15.75" customHeight="1" x14ac:dyDescent="0.25">
      <c r="A17">
        <v>5</v>
      </c>
      <c r="B17" s="7" t="s">
        <v>13</v>
      </c>
      <c r="G17" s="6">
        <v>2200</v>
      </c>
    </row>
    <row r="18" spans="1:10" ht="15.75" customHeight="1" x14ac:dyDescent="0.25">
      <c r="A18">
        <v>6</v>
      </c>
      <c r="B18" s="7" t="s">
        <v>12</v>
      </c>
      <c r="G18" s="6">
        <f>2500+20000</f>
        <v>22500</v>
      </c>
      <c r="I18" s="7"/>
    </row>
    <row r="19" spans="1:10" ht="15.75" customHeight="1" x14ac:dyDescent="0.25">
      <c r="A19">
        <v>7</v>
      </c>
      <c r="B19" s="7" t="s">
        <v>11</v>
      </c>
      <c r="E19" s="7"/>
      <c r="G19" s="6">
        <v>2000</v>
      </c>
    </row>
    <row r="20" spans="1:10" ht="15.75" customHeight="1" x14ac:dyDescent="0.25">
      <c r="A20">
        <v>8</v>
      </c>
      <c r="B20" s="7" t="s">
        <v>10</v>
      </c>
      <c r="G20" s="6">
        <f>541.74*4+534.48*8</f>
        <v>6442.8</v>
      </c>
    </row>
    <row r="21" spans="1:10" ht="15.75" customHeight="1" x14ac:dyDescent="0.25">
      <c r="A21">
        <v>7</v>
      </c>
      <c r="B21" s="7" t="s">
        <v>9</v>
      </c>
      <c r="E21" s="7"/>
      <c r="G21" s="6">
        <v>5175</v>
      </c>
    </row>
    <row r="22" spans="1:10" ht="15.75" customHeight="1" x14ac:dyDescent="0.25">
      <c r="A22">
        <v>7</v>
      </c>
      <c r="B22" s="7" t="s">
        <v>8</v>
      </c>
      <c r="E22" s="7"/>
      <c r="G22" s="6">
        <f>1940.75+6294.98+1787.78</f>
        <v>10023.51</v>
      </c>
    </row>
    <row r="23" spans="1:10" ht="15.75" customHeight="1" x14ac:dyDescent="0.25">
      <c r="A23">
        <v>9</v>
      </c>
      <c r="B23" s="7" t="s">
        <v>7</v>
      </c>
      <c r="E23" s="7"/>
      <c r="G23" s="6">
        <f>9925+6335</f>
        <v>16260</v>
      </c>
    </row>
    <row r="24" spans="1:10" ht="15.75" customHeight="1" x14ac:dyDescent="0.25">
      <c r="A24">
        <v>10</v>
      </c>
      <c r="B24" s="7" t="s">
        <v>6</v>
      </c>
      <c r="E24" s="7" t="s">
        <v>1</v>
      </c>
      <c r="G24" s="6">
        <f>880+6000</f>
        <v>6880</v>
      </c>
    </row>
    <row r="25" spans="1:10" ht="15.75" customHeight="1" x14ac:dyDescent="0.25">
      <c r="A25">
        <v>11</v>
      </c>
      <c r="B25" s="7" t="s">
        <v>5</v>
      </c>
      <c r="E25" s="7" t="s">
        <v>1</v>
      </c>
      <c r="G25" s="6">
        <v>19950</v>
      </c>
    </row>
    <row r="26" spans="1:10" ht="15.75" customHeight="1" x14ac:dyDescent="0.25">
      <c r="A26">
        <v>12</v>
      </c>
      <c r="B26" s="7" t="s">
        <v>4</v>
      </c>
      <c r="E26" s="7" t="s">
        <v>1</v>
      </c>
      <c r="G26" s="6">
        <v>584.66</v>
      </c>
    </row>
    <row r="27" spans="1:10" ht="15.75" customHeight="1" x14ac:dyDescent="0.25">
      <c r="A27">
        <v>13</v>
      </c>
      <c r="B27" s="7" t="s">
        <v>3</v>
      </c>
      <c r="E27" s="7" t="s">
        <v>1</v>
      </c>
      <c r="G27" s="6">
        <f>169.52+499.03+308.29+453.68+137.5+814.74+50.15+4601.69+2684.05+3759.48+1731.71+43697.44</f>
        <v>58907.28</v>
      </c>
    </row>
    <row r="28" spans="1:10" ht="15.75" customHeight="1" x14ac:dyDescent="0.25">
      <c r="A28">
        <v>14</v>
      </c>
      <c r="B28" s="7" t="s">
        <v>2</v>
      </c>
      <c r="E28" s="7" t="s">
        <v>1</v>
      </c>
      <c r="G28" s="6">
        <f>3654.13*12</f>
        <v>43849.56</v>
      </c>
    </row>
    <row r="29" spans="1:10" ht="15.75" customHeight="1" x14ac:dyDescent="0.25">
      <c r="B29" s="7"/>
      <c r="E29" s="7"/>
      <c r="G29" s="6"/>
    </row>
    <row r="30" spans="1:10" ht="15.75" customHeight="1" x14ac:dyDescent="0.25">
      <c r="B30" s="7"/>
      <c r="E30" s="7"/>
      <c r="G30" s="6"/>
    </row>
    <row r="31" spans="1:10" ht="12.6" customHeight="1" x14ac:dyDescent="0.25">
      <c r="B31" s="4"/>
      <c r="G31" s="6"/>
    </row>
    <row r="32" spans="1:10" ht="12.6" customHeight="1" x14ac:dyDescent="0.25">
      <c r="B32" s="4" t="s">
        <v>0</v>
      </c>
      <c r="G32" s="5">
        <f>SUM(G13:G31)</f>
        <v>479787.97999999992</v>
      </c>
      <c r="J32" s="4"/>
    </row>
    <row r="33" spans="2:7" ht="12.6" customHeight="1" x14ac:dyDescent="0.25">
      <c r="G33" s="3"/>
    </row>
    <row r="34" spans="2:7" ht="12.6" customHeight="1" x14ac:dyDescent="0.25">
      <c r="G34" s="3"/>
    </row>
    <row r="35" spans="2:7" ht="12.6" customHeight="1" x14ac:dyDescent="0.25">
      <c r="G35" s="2"/>
    </row>
    <row r="36" spans="2:7" ht="12.6" customHeight="1" x14ac:dyDescent="0.25"/>
    <row r="37" spans="2:7" ht="12.6" customHeight="1" x14ac:dyDescent="0.25"/>
    <row r="38" spans="2:7" ht="12.6" customHeight="1" x14ac:dyDescent="0.25"/>
    <row r="39" spans="2:7" ht="12.6" customHeight="1" x14ac:dyDescent="0.25"/>
    <row r="40" spans="2:7" ht="12.6" customHeight="1" x14ac:dyDescent="0.25"/>
    <row r="42" spans="2:7" ht="18.75" x14ac:dyDescent="0.3">
      <c r="B42" s="1"/>
    </row>
    <row r="44" spans="2:7" ht="18.75" x14ac:dyDescent="0.3">
      <c r="B4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B31" sqref="B31"/>
    </sheetView>
  </sheetViews>
  <sheetFormatPr defaultRowHeight="15" x14ac:dyDescent="0.25"/>
  <cols>
    <col min="1" max="1" width="5.7109375" customWidth="1"/>
    <col min="2" max="2" width="65.28515625" customWidth="1"/>
    <col min="3" max="6" width="0" hidden="1" customWidth="1"/>
    <col min="7" max="7" width="16.28515625" customWidth="1"/>
    <col min="12" max="12" width="34.85546875" customWidth="1"/>
  </cols>
  <sheetData>
    <row r="1" spans="1:11" ht="18.75" x14ac:dyDescent="0.3">
      <c r="B1" s="14" t="s">
        <v>27</v>
      </c>
    </row>
    <row r="2" spans="1:11" ht="18.75" x14ac:dyDescent="0.3">
      <c r="B2" s="13" t="s">
        <v>26</v>
      </c>
    </row>
    <row r="3" spans="1:11" ht="18.75" x14ac:dyDescent="0.3">
      <c r="B3" s="13" t="s">
        <v>25</v>
      </c>
    </row>
    <row r="4" spans="1:11" ht="18.75" x14ac:dyDescent="0.3">
      <c r="B4" s="13" t="s">
        <v>28</v>
      </c>
    </row>
    <row r="6" spans="1:11" ht="18.75" x14ac:dyDescent="0.3">
      <c r="B6" s="12" t="s">
        <v>23</v>
      </c>
    </row>
    <row r="8" spans="1:11" x14ac:dyDescent="0.25">
      <c r="G8" s="11" t="s">
        <v>22</v>
      </c>
    </row>
    <row r="9" spans="1:11" ht="18.75" x14ac:dyDescent="0.3">
      <c r="B9" s="9" t="s">
        <v>21</v>
      </c>
      <c r="G9" s="10">
        <f>G31</f>
        <v>561079.38</v>
      </c>
    </row>
    <row r="10" spans="1:11" x14ac:dyDescent="0.25">
      <c r="G10" s="8"/>
    </row>
    <row r="11" spans="1:11" ht="18.75" x14ac:dyDescent="0.3">
      <c r="B11" s="9" t="s">
        <v>20</v>
      </c>
      <c r="G11" s="8"/>
    </row>
    <row r="12" spans="1:11" ht="18.75" x14ac:dyDescent="0.3">
      <c r="B12" s="9" t="s">
        <v>19</v>
      </c>
      <c r="G12" s="8"/>
    </row>
    <row r="13" spans="1:11" ht="15.75" customHeight="1" x14ac:dyDescent="0.25">
      <c r="A13">
        <v>1</v>
      </c>
      <c r="B13" s="7" t="s">
        <v>18</v>
      </c>
      <c r="G13" s="6">
        <f>2635.1*7*12</f>
        <v>221348.40000000002</v>
      </c>
      <c r="H13" s="7"/>
      <c r="K13" s="2"/>
    </row>
    <row r="14" spans="1:11" ht="15.75" customHeight="1" x14ac:dyDescent="0.25">
      <c r="A14">
        <v>2</v>
      </c>
      <c r="B14" s="7" t="s">
        <v>29</v>
      </c>
      <c r="G14" s="6">
        <f>2635.1*1*12</f>
        <v>31621.199999999997</v>
      </c>
    </row>
    <row r="15" spans="1:11" ht="15.75" customHeight="1" x14ac:dyDescent="0.25">
      <c r="A15">
        <v>3</v>
      </c>
      <c r="B15" s="7" t="s">
        <v>17</v>
      </c>
      <c r="E15" s="7" t="s">
        <v>16</v>
      </c>
      <c r="G15" s="6">
        <f>2635.1*0.4*12</f>
        <v>12648.48</v>
      </c>
    </row>
    <row r="16" spans="1:11" ht="15.75" customHeight="1" x14ac:dyDescent="0.25">
      <c r="A16">
        <v>4</v>
      </c>
      <c r="B16" s="7" t="s">
        <v>15</v>
      </c>
      <c r="G16" s="6">
        <f>8769.9*12</f>
        <v>105238.79999999999</v>
      </c>
      <c r="J16" s="7"/>
    </row>
    <row r="17" spans="1:10" ht="15.75" customHeight="1" x14ac:dyDescent="0.25">
      <c r="A17">
        <v>5</v>
      </c>
      <c r="B17" s="7" t="s">
        <v>14</v>
      </c>
      <c r="G17" s="6">
        <f>2923.3*12</f>
        <v>35079.600000000006</v>
      </c>
    </row>
    <row r="18" spans="1:10" ht="15.75" customHeight="1" x14ac:dyDescent="0.25">
      <c r="A18">
        <v>6</v>
      </c>
      <c r="B18" s="7" t="s">
        <v>30</v>
      </c>
      <c r="G18" s="6">
        <f>330*2+350*10</f>
        <v>4160</v>
      </c>
      <c r="I18" s="7"/>
    </row>
    <row r="19" spans="1:10" ht="15.75" customHeight="1" x14ac:dyDescent="0.25">
      <c r="A19">
        <v>7</v>
      </c>
      <c r="B19" s="7" t="s">
        <v>31</v>
      </c>
      <c r="G19" s="3">
        <v>24723.599999999999</v>
      </c>
    </row>
    <row r="20" spans="1:10" ht="15.75" customHeight="1" x14ac:dyDescent="0.25">
      <c r="A20">
        <v>8</v>
      </c>
      <c r="B20" s="7" t="s">
        <v>32</v>
      </c>
      <c r="G20" s="6">
        <f>861*12</f>
        <v>10332</v>
      </c>
    </row>
    <row r="21" spans="1:10" ht="15.75" customHeight="1" x14ac:dyDescent="0.25">
      <c r="A21">
        <v>9</v>
      </c>
      <c r="B21" s="7" t="s">
        <v>33</v>
      </c>
      <c r="G21" s="6">
        <f>11500+2200</f>
        <v>13700</v>
      </c>
    </row>
    <row r="22" spans="1:10" ht="15.75" customHeight="1" x14ac:dyDescent="0.25">
      <c r="A22">
        <v>10</v>
      </c>
      <c r="B22" s="7" t="s">
        <v>34</v>
      </c>
      <c r="G22" s="6">
        <v>1050</v>
      </c>
    </row>
    <row r="23" spans="1:10" ht="15.75" customHeight="1" x14ac:dyDescent="0.25">
      <c r="A23">
        <v>11</v>
      </c>
      <c r="B23" s="7" t="s">
        <v>3</v>
      </c>
      <c r="E23" s="7" t="s">
        <v>1</v>
      </c>
      <c r="G23" s="6">
        <f>674.72+121.63+488.75+607.61+40+3572.1+288.45+3233+227.3+393.51</f>
        <v>9647.0699999999979</v>
      </c>
    </row>
    <row r="24" spans="1:10" ht="15.75" customHeight="1" x14ac:dyDescent="0.25">
      <c r="A24">
        <v>12</v>
      </c>
      <c r="B24" s="7" t="s">
        <v>35</v>
      </c>
      <c r="E24" s="7"/>
      <c r="G24" s="6">
        <v>3500</v>
      </c>
    </row>
    <row r="25" spans="1:10" ht="15.75" customHeight="1" x14ac:dyDescent="0.25">
      <c r="A25">
        <v>13</v>
      </c>
      <c r="B25" s="7" t="s">
        <v>36</v>
      </c>
      <c r="E25" s="7"/>
      <c r="G25" s="15">
        <f>1300+3900+3250</f>
        <v>8450</v>
      </c>
    </row>
    <row r="26" spans="1:10" ht="15.75" customHeight="1" x14ac:dyDescent="0.25">
      <c r="A26">
        <v>14</v>
      </c>
      <c r="B26" s="7" t="s">
        <v>37</v>
      </c>
      <c r="E26" s="7"/>
      <c r="G26" s="6">
        <v>3750</v>
      </c>
    </row>
    <row r="27" spans="1:10" ht="15.75" customHeight="1" x14ac:dyDescent="0.25">
      <c r="A27">
        <v>15</v>
      </c>
      <c r="B27" s="7" t="s">
        <v>38</v>
      </c>
      <c r="E27" s="7"/>
      <c r="G27" s="6">
        <v>730.83</v>
      </c>
    </row>
    <row r="28" spans="1:10" ht="15.75" customHeight="1" x14ac:dyDescent="0.25">
      <c r="A28">
        <v>16</v>
      </c>
      <c r="B28" s="7" t="s">
        <v>5</v>
      </c>
      <c r="E28" s="7"/>
      <c r="G28" s="6">
        <v>22480</v>
      </c>
    </row>
    <row r="29" spans="1:10" ht="15.75" customHeight="1" x14ac:dyDescent="0.25">
      <c r="A29">
        <v>17</v>
      </c>
      <c r="B29" s="7" t="s">
        <v>2</v>
      </c>
      <c r="E29" s="7" t="s">
        <v>1</v>
      </c>
      <c r="G29" s="6">
        <f>4384.95*12</f>
        <v>52619.399999999994</v>
      </c>
    </row>
    <row r="30" spans="1:10" ht="15.75" customHeight="1" x14ac:dyDescent="0.25">
      <c r="B30" s="4"/>
      <c r="G30" s="6"/>
    </row>
    <row r="31" spans="1:10" ht="12.6" customHeight="1" x14ac:dyDescent="0.25">
      <c r="B31" s="4" t="s">
        <v>0</v>
      </c>
      <c r="G31" s="5">
        <f>SUM(G13:G30)</f>
        <v>561079.38</v>
      </c>
    </row>
    <row r="32" spans="1:10" ht="12.6" customHeight="1" x14ac:dyDescent="0.25">
      <c r="B32" s="4"/>
      <c r="G32" s="5"/>
      <c r="J32" s="4"/>
    </row>
    <row r="33" spans="2:7" ht="12.6" customHeight="1" x14ac:dyDescent="0.25">
      <c r="G33" s="3"/>
    </row>
    <row r="34" spans="2:7" ht="12.6" customHeight="1" x14ac:dyDescent="0.25">
      <c r="G34" s="3"/>
    </row>
    <row r="35" spans="2:7" ht="12.6" customHeight="1" x14ac:dyDescent="0.25">
      <c r="G35" s="2"/>
    </row>
    <row r="36" spans="2:7" ht="12.6" customHeight="1" x14ac:dyDescent="0.25"/>
    <row r="37" spans="2:7" ht="12.6" customHeight="1" x14ac:dyDescent="0.25"/>
    <row r="38" spans="2:7" ht="12.6" customHeight="1" x14ac:dyDescent="0.25"/>
    <row r="39" spans="2:7" ht="12.6" customHeight="1" x14ac:dyDescent="0.25"/>
    <row r="40" spans="2:7" ht="12.6" customHeight="1" x14ac:dyDescent="0.25"/>
    <row r="42" spans="2:7" ht="18.75" x14ac:dyDescent="0.3">
      <c r="B42" s="1"/>
    </row>
    <row r="44" spans="2:7" ht="18.75" x14ac:dyDescent="0.3">
      <c r="B44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1" workbookViewId="0">
      <selection activeCell="B45" sqref="B45"/>
    </sheetView>
  </sheetViews>
  <sheetFormatPr defaultRowHeight="15" x14ac:dyDescent="0.25"/>
  <cols>
    <col min="1" max="1" width="5.7109375" customWidth="1"/>
    <col min="2" max="2" width="65.28515625" customWidth="1"/>
    <col min="3" max="6" width="0" hidden="1" customWidth="1"/>
    <col min="7" max="7" width="16.28515625" customWidth="1"/>
    <col min="12" max="12" width="34.85546875" customWidth="1"/>
  </cols>
  <sheetData>
    <row r="1" spans="1:11" ht="18.75" x14ac:dyDescent="0.3">
      <c r="B1" s="14" t="s">
        <v>27</v>
      </c>
    </row>
    <row r="2" spans="1:11" ht="18.75" x14ac:dyDescent="0.3">
      <c r="B2" s="13" t="s">
        <v>26</v>
      </c>
    </row>
    <row r="3" spans="1:11" ht="18.75" x14ac:dyDescent="0.3">
      <c r="B3" s="13" t="s">
        <v>25</v>
      </c>
    </row>
    <row r="4" spans="1:11" ht="18.75" x14ac:dyDescent="0.3">
      <c r="B4" s="13" t="s">
        <v>39</v>
      </c>
    </row>
    <row r="6" spans="1:11" ht="18.75" x14ac:dyDescent="0.3">
      <c r="B6" s="12" t="s">
        <v>23</v>
      </c>
    </row>
    <row r="8" spans="1:11" x14ac:dyDescent="0.25">
      <c r="G8" s="11" t="s">
        <v>22</v>
      </c>
    </row>
    <row r="9" spans="1:11" ht="18.75" x14ac:dyDescent="0.3">
      <c r="B9" s="9" t="s">
        <v>21</v>
      </c>
      <c r="G9" s="10">
        <f>G26</f>
        <v>1691710.6899999997</v>
      </c>
    </row>
    <row r="10" spans="1:11" x14ac:dyDescent="0.25">
      <c r="G10" s="8"/>
    </row>
    <row r="11" spans="1:11" ht="18.75" x14ac:dyDescent="0.3">
      <c r="B11" s="9" t="s">
        <v>20</v>
      </c>
      <c r="G11" s="8"/>
    </row>
    <row r="12" spans="1:11" ht="18.75" x14ac:dyDescent="0.3">
      <c r="B12" s="9" t="s">
        <v>19</v>
      </c>
      <c r="G12" s="8"/>
    </row>
    <row r="13" spans="1:11" ht="15.75" customHeight="1" x14ac:dyDescent="0.25">
      <c r="A13" s="16">
        <v>1</v>
      </c>
      <c r="B13" s="17" t="s">
        <v>18</v>
      </c>
      <c r="C13" s="16"/>
      <c r="D13" s="16"/>
      <c r="E13" s="16"/>
      <c r="F13" s="16"/>
      <c r="G13" s="18">
        <f>(2443.2+751.5+54380.88+14052.24)*12</f>
        <v>859533.83999999985</v>
      </c>
      <c r="H13" s="7"/>
      <c r="K13" s="2"/>
    </row>
    <row r="14" spans="1:11" ht="15.75" customHeight="1" x14ac:dyDescent="0.25">
      <c r="A14" s="16">
        <v>2</v>
      </c>
      <c r="B14" s="17" t="s">
        <v>17</v>
      </c>
      <c r="C14" s="16"/>
      <c r="D14" s="16"/>
      <c r="E14" s="17" t="s">
        <v>16</v>
      </c>
      <c r="F14" s="16"/>
      <c r="G14" s="18">
        <f>9504.6*0.4*12</f>
        <v>45622.080000000002</v>
      </c>
    </row>
    <row r="15" spans="1:11" ht="15.75" customHeight="1" x14ac:dyDescent="0.25">
      <c r="A15" s="16">
        <v>3</v>
      </c>
      <c r="B15" s="17" t="s">
        <v>29</v>
      </c>
      <c r="C15" s="16"/>
      <c r="D15" s="16"/>
      <c r="E15" s="17" t="s">
        <v>16</v>
      </c>
      <c r="F15" s="16"/>
      <c r="G15" s="18">
        <f>9504.6*1*12</f>
        <v>114055.20000000001</v>
      </c>
    </row>
    <row r="16" spans="1:11" ht="15.75" customHeight="1" x14ac:dyDescent="0.25">
      <c r="A16" s="16">
        <v>4</v>
      </c>
      <c r="B16" s="17" t="s">
        <v>40</v>
      </c>
      <c r="C16" s="16"/>
      <c r="D16" s="16"/>
      <c r="E16" s="16"/>
      <c r="F16" s="16"/>
      <c r="G16" s="18">
        <f>23386.39*4+7543.39+6884.24+11693.2*4+23386.39*2</f>
        <v>201518.77</v>
      </c>
      <c r="J16" s="7"/>
    </row>
    <row r="17" spans="1:10" ht="15.75" customHeight="1" x14ac:dyDescent="0.25">
      <c r="A17" s="16">
        <v>5</v>
      </c>
      <c r="B17" s="17" t="s">
        <v>41</v>
      </c>
      <c r="C17" s="16"/>
      <c r="D17" s="16"/>
      <c r="E17" s="16"/>
      <c r="F17" s="16"/>
      <c r="G17" s="18">
        <f>14176.8*12</f>
        <v>170121.59999999998</v>
      </c>
    </row>
    <row r="18" spans="1:10" ht="15.75" customHeight="1" x14ac:dyDescent="0.25">
      <c r="A18" s="16">
        <v>6</v>
      </c>
      <c r="B18" s="17" t="s">
        <v>42</v>
      </c>
      <c r="C18" s="16"/>
      <c r="D18" s="16"/>
      <c r="E18" s="16"/>
      <c r="F18" s="16"/>
      <c r="G18" s="18">
        <f>(4350*3+4000)*12</f>
        <v>204600</v>
      </c>
      <c r="I18" s="7"/>
    </row>
    <row r="19" spans="1:10" ht="15.75" customHeight="1" x14ac:dyDescent="0.25">
      <c r="A19" s="16">
        <v>7</v>
      </c>
      <c r="B19" s="17" t="s">
        <v>43</v>
      </c>
      <c r="C19" s="16"/>
      <c r="D19" s="16"/>
      <c r="E19" s="16"/>
      <c r="F19" s="16"/>
      <c r="G19" s="18">
        <v>74960.45</v>
      </c>
    </row>
    <row r="20" spans="1:10" ht="15.75" customHeight="1" x14ac:dyDescent="0.25">
      <c r="A20" s="16">
        <v>8</v>
      </c>
      <c r="B20" s="17" t="s">
        <v>44</v>
      </c>
      <c r="C20" s="16"/>
      <c r="D20" s="16"/>
      <c r="E20" s="16"/>
      <c r="F20" s="16"/>
      <c r="G20" s="18">
        <v>2000</v>
      </c>
    </row>
    <row r="21" spans="1:10" ht="15.75" customHeight="1" x14ac:dyDescent="0.25">
      <c r="A21" s="16">
        <v>9</v>
      </c>
      <c r="B21" s="19" t="s">
        <v>45</v>
      </c>
      <c r="C21" s="19"/>
      <c r="D21" s="19"/>
      <c r="E21" s="19"/>
      <c r="F21" s="19"/>
      <c r="G21" s="20">
        <v>4990.5</v>
      </c>
    </row>
    <row r="22" spans="1:10" ht="15.75" customHeight="1" x14ac:dyDescent="0.25">
      <c r="A22" s="16">
        <v>10</v>
      </c>
      <c r="B22" s="17" t="s">
        <v>46</v>
      </c>
      <c r="C22" s="16"/>
      <c r="D22" s="16"/>
      <c r="E22" s="16"/>
      <c r="F22" s="16"/>
      <c r="G22" s="18">
        <f>2923.3+4384.95</f>
        <v>7308.25</v>
      </c>
    </row>
    <row r="23" spans="1:10" ht="15.75" customHeight="1" x14ac:dyDescent="0.25">
      <c r="A23" s="16">
        <v>11</v>
      </c>
      <c r="B23" s="17" t="s">
        <v>7</v>
      </c>
      <c r="C23" s="16"/>
      <c r="D23" s="16"/>
      <c r="E23" s="17"/>
      <c r="F23" s="16"/>
      <c r="G23" s="21">
        <f>5600+1400</f>
        <v>7000</v>
      </c>
    </row>
    <row r="24" spans="1:10" ht="15.75" customHeight="1" x14ac:dyDescent="0.25">
      <c r="B24" s="7"/>
      <c r="E24" s="7"/>
      <c r="G24" s="6"/>
    </row>
    <row r="25" spans="1:10" ht="15.75" customHeight="1" x14ac:dyDescent="0.25">
      <c r="B25" s="4"/>
      <c r="G25" s="6"/>
    </row>
    <row r="26" spans="1:10" ht="15.75" customHeight="1" x14ac:dyDescent="0.25">
      <c r="B26" s="4" t="s">
        <v>0</v>
      </c>
      <c r="G26" s="5">
        <f>SUM(G13:G25)</f>
        <v>1691710.6899999997</v>
      </c>
    </row>
    <row r="27" spans="1:10" ht="15.75" customHeight="1" x14ac:dyDescent="0.25">
      <c r="B27" s="4"/>
      <c r="G27" s="5"/>
    </row>
    <row r="28" spans="1:10" ht="15.75" customHeight="1" x14ac:dyDescent="0.25">
      <c r="B28" s="4"/>
      <c r="G28" s="5"/>
    </row>
    <row r="29" spans="1:10" ht="15.75" customHeight="1" x14ac:dyDescent="0.25">
      <c r="G29" s="6"/>
    </row>
    <row r="30" spans="1:10" ht="15.75" customHeight="1" x14ac:dyDescent="0.3">
      <c r="B30" s="22" t="s">
        <v>47</v>
      </c>
      <c r="C30" s="16"/>
      <c r="D30" s="16"/>
      <c r="E30" s="16"/>
      <c r="F30" s="16"/>
      <c r="G30" s="20"/>
    </row>
    <row r="31" spans="1:10" ht="12.6" customHeight="1" x14ac:dyDescent="0.25">
      <c r="B31" s="17" t="s">
        <v>48</v>
      </c>
      <c r="C31" s="16"/>
      <c r="D31" s="16"/>
      <c r="E31" s="16"/>
      <c r="F31" s="16"/>
      <c r="G31" s="20">
        <v>-27742</v>
      </c>
    </row>
    <row r="32" spans="1:10" ht="12.6" customHeight="1" x14ac:dyDescent="0.25">
      <c r="A32" s="2"/>
      <c r="B32" s="19" t="s">
        <v>49</v>
      </c>
      <c r="C32" s="19"/>
      <c r="D32" s="19"/>
      <c r="E32" s="19"/>
      <c r="F32" s="19"/>
      <c r="G32" s="20">
        <f>9504.6*2*12</f>
        <v>228110.40000000002</v>
      </c>
      <c r="J32" s="4"/>
    </row>
    <row r="33" spans="1:7" ht="12.6" customHeight="1" x14ac:dyDescent="0.25">
      <c r="A33" s="2"/>
      <c r="B33" s="19"/>
      <c r="C33" s="19"/>
      <c r="D33" s="19"/>
      <c r="E33" s="19"/>
      <c r="F33" s="19"/>
      <c r="G33" s="20"/>
    </row>
    <row r="34" spans="1:7" ht="12.6" customHeight="1" x14ac:dyDescent="0.25">
      <c r="B34" s="19" t="s">
        <v>50</v>
      </c>
      <c r="C34" s="19"/>
      <c r="D34" s="19"/>
      <c r="E34" s="19"/>
      <c r="F34" s="19"/>
      <c r="G34" s="20"/>
    </row>
    <row r="35" spans="1:7" ht="12.6" customHeight="1" x14ac:dyDescent="0.25">
      <c r="A35">
        <v>1</v>
      </c>
      <c r="B35" s="17" t="s">
        <v>51</v>
      </c>
      <c r="C35" s="19"/>
      <c r="D35" s="19"/>
      <c r="E35" s="19"/>
      <c r="F35" s="19"/>
      <c r="G35" s="20">
        <f>23999+1500+6981</f>
        <v>32480</v>
      </c>
    </row>
    <row r="36" spans="1:7" ht="12.6" customHeight="1" x14ac:dyDescent="0.25">
      <c r="A36">
        <v>2</v>
      </c>
      <c r="B36" s="19" t="s">
        <v>52</v>
      </c>
      <c r="C36" s="19"/>
      <c r="D36" s="19"/>
      <c r="E36" s="19"/>
      <c r="F36" s="19"/>
      <c r="G36" s="20">
        <v>2704.14</v>
      </c>
    </row>
    <row r="37" spans="1:7" ht="12.6" customHeight="1" x14ac:dyDescent="0.25">
      <c r="A37">
        <v>3</v>
      </c>
      <c r="B37" s="19" t="s">
        <v>53</v>
      </c>
      <c r="C37" s="19"/>
      <c r="D37" s="19"/>
      <c r="E37" s="19"/>
      <c r="F37" s="19"/>
      <c r="G37" s="20">
        <v>5000</v>
      </c>
    </row>
    <row r="38" spans="1:7" ht="12.6" customHeight="1" x14ac:dyDescent="0.25">
      <c r="A38">
        <v>4</v>
      </c>
      <c r="B38" s="19" t="s">
        <v>54</v>
      </c>
      <c r="C38" s="19"/>
      <c r="D38" s="19"/>
      <c r="E38" s="19"/>
      <c r="F38" s="19"/>
      <c r="G38" s="20">
        <f>1350+1750+1500</f>
        <v>4600</v>
      </c>
    </row>
    <row r="39" spans="1:7" ht="12.6" customHeight="1" x14ac:dyDescent="0.25">
      <c r="A39">
        <v>5</v>
      </c>
      <c r="B39" s="17" t="s">
        <v>55</v>
      </c>
      <c r="C39" s="19"/>
      <c r="D39" s="19"/>
      <c r="E39" s="19"/>
      <c r="F39" s="19"/>
      <c r="G39" s="20">
        <v>20000</v>
      </c>
    </row>
    <row r="40" spans="1:7" ht="12.6" customHeight="1" x14ac:dyDescent="0.25">
      <c r="A40">
        <v>6</v>
      </c>
      <c r="B40" s="19" t="s">
        <v>56</v>
      </c>
      <c r="C40" s="19"/>
      <c r="D40" s="19"/>
      <c r="E40" s="19"/>
      <c r="F40" s="19"/>
      <c r="G40" s="20">
        <v>4384.95</v>
      </c>
    </row>
    <row r="41" spans="1:7" ht="15.75" x14ac:dyDescent="0.25">
      <c r="A41">
        <v>7</v>
      </c>
      <c r="B41" s="19" t="s">
        <v>57</v>
      </c>
      <c r="C41" s="19"/>
      <c r="D41" s="19"/>
      <c r="E41" s="19"/>
      <c r="F41" s="19"/>
      <c r="G41" s="20">
        <f>108570.22+3725.57+3932.27</f>
        <v>116228.06000000001</v>
      </c>
    </row>
    <row r="42" spans="1:7" ht="15.75" x14ac:dyDescent="0.25">
      <c r="A42">
        <v>8</v>
      </c>
      <c r="B42" s="19" t="s">
        <v>58</v>
      </c>
      <c r="C42" s="19"/>
      <c r="D42" s="19"/>
      <c r="E42" s="19"/>
      <c r="F42" s="19"/>
      <c r="G42" s="20">
        <f>12000+10500+48000</f>
        <v>70500</v>
      </c>
    </row>
    <row r="43" spans="1:7" ht="31.5" x14ac:dyDescent="0.25">
      <c r="A43">
        <v>9</v>
      </c>
      <c r="B43" s="17" t="s">
        <v>59</v>
      </c>
      <c r="C43" s="19"/>
      <c r="D43" s="19"/>
      <c r="E43" s="19"/>
      <c r="F43" s="19"/>
      <c r="G43" s="20">
        <f>5850+6500</f>
        <v>12350</v>
      </c>
    </row>
    <row r="44" spans="1:7" ht="15.75" x14ac:dyDescent="0.25">
      <c r="B44" s="17" t="s">
        <v>60</v>
      </c>
      <c r="C44" s="19"/>
      <c r="D44" s="19"/>
      <c r="E44" s="19"/>
      <c r="F44" s="19"/>
      <c r="G44" s="20">
        <f>SUM(G35:G43)</f>
        <v>268247.15000000002</v>
      </c>
    </row>
    <row r="45" spans="1:7" ht="15.75" x14ac:dyDescent="0.25">
      <c r="B45" s="19"/>
      <c r="C45" s="19"/>
      <c r="D45" s="19"/>
      <c r="E45" s="19"/>
      <c r="F45" s="19"/>
      <c r="G45" s="20"/>
    </row>
    <row r="46" spans="1:7" ht="15.75" x14ac:dyDescent="0.25">
      <c r="B46" s="19" t="s">
        <v>61</v>
      </c>
      <c r="C46" s="19"/>
      <c r="D46" s="19"/>
      <c r="E46" s="19"/>
      <c r="F46" s="19"/>
      <c r="G46" s="20">
        <f>G31+G32-G44</f>
        <v>-67878.75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G29" sqref="G29"/>
    </sheetView>
  </sheetViews>
  <sheetFormatPr defaultRowHeight="15" x14ac:dyDescent="0.25"/>
  <cols>
    <col min="1" max="1" width="5.7109375" customWidth="1"/>
    <col min="2" max="2" width="65.28515625" customWidth="1"/>
    <col min="3" max="6" width="0" hidden="1" customWidth="1"/>
    <col min="7" max="7" width="16.28515625" customWidth="1"/>
    <col min="12" max="12" width="34.85546875" customWidth="1"/>
  </cols>
  <sheetData>
    <row r="1" spans="1:11" ht="18.75" x14ac:dyDescent="0.3">
      <c r="B1" s="14" t="s">
        <v>27</v>
      </c>
    </row>
    <row r="2" spans="1:11" ht="18.75" x14ac:dyDescent="0.3">
      <c r="B2" s="13" t="s">
        <v>26</v>
      </c>
    </row>
    <row r="3" spans="1:11" ht="18.75" x14ac:dyDescent="0.3">
      <c r="B3" s="13" t="s">
        <v>25</v>
      </c>
    </row>
    <row r="4" spans="1:11" ht="18.75" x14ac:dyDescent="0.3">
      <c r="B4" s="13" t="s">
        <v>62</v>
      </c>
    </row>
    <row r="6" spans="1:11" ht="18.75" x14ac:dyDescent="0.3">
      <c r="B6" s="12" t="s">
        <v>23</v>
      </c>
    </row>
    <row r="8" spans="1:11" x14ac:dyDescent="0.25">
      <c r="G8" s="11" t="s">
        <v>22</v>
      </c>
    </row>
    <row r="9" spans="1:11" ht="18.75" x14ac:dyDescent="0.3">
      <c r="B9" s="9" t="s">
        <v>21</v>
      </c>
      <c r="G9" s="5">
        <f>G24</f>
        <v>381726.97999999992</v>
      </c>
    </row>
    <row r="10" spans="1:11" x14ac:dyDescent="0.25">
      <c r="G10" s="8"/>
    </row>
    <row r="11" spans="1:11" ht="18.75" x14ac:dyDescent="0.3">
      <c r="B11" s="9" t="s">
        <v>20</v>
      </c>
      <c r="G11" s="8"/>
    </row>
    <row r="12" spans="1:11" ht="18.75" x14ac:dyDescent="0.3">
      <c r="B12" s="9" t="s">
        <v>19</v>
      </c>
      <c r="G12" s="8"/>
    </row>
    <row r="13" spans="1:11" ht="15.75" customHeight="1" x14ac:dyDescent="0.25">
      <c r="A13">
        <v>1</v>
      </c>
      <c r="B13" s="7" t="s">
        <v>18</v>
      </c>
      <c r="G13" s="15">
        <f>(6.5*1796.3*3)+(7.4*1796.3*9)</f>
        <v>154661.43</v>
      </c>
      <c r="H13" s="7"/>
      <c r="K13" s="2"/>
    </row>
    <row r="14" spans="1:11" ht="15.75" customHeight="1" x14ac:dyDescent="0.25">
      <c r="A14">
        <v>2</v>
      </c>
      <c r="B14" s="7" t="s">
        <v>29</v>
      </c>
      <c r="G14" s="15">
        <f>1796.3*0.5*12</f>
        <v>10777.8</v>
      </c>
    </row>
    <row r="15" spans="1:11" ht="15.75" customHeight="1" x14ac:dyDescent="0.25">
      <c r="A15">
        <v>3</v>
      </c>
      <c r="B15" s="7" t="s">
        <v>17</v>
      </c>
      <c r="E15" s="7" t="s">
        <v>16</v>
      </c>
      <c r="G15" s="15">
        <f>1796.3*0.4*12</f>
        <v>8622.24</v>
      </c>
    </row>
    <row r="16" spans="1:11" ht="15.75" customHeight="1" x14ac:dyDescent="0.25">
      <c r="A16">
        <v>4</v>
      </c>
      <c r="B16" s="7" t="s">
        <v>63</v>
      </c>
      <c r="E16" s="7"/>
      <c r="G16" s="15">
        <f>861*12</f>
        <v>10332</v>
      </c>
      <c r="J16" s="7"/>
    </row>
    <row r="17" spans="1:10" ht="15.75" customHeight="1" x14ac:dyDescent="0.25">
      <c r="A17">
        <v>5</v>
      </c>
      <c r="B17" s="7" t="s">
        <v>42</v>
      </c>
      <c r="E17" s="7"/>
      <c r="G17" s="15">
        <f>4600*12+8291+1500</f>
        <v>64991</v>
      </c>
    </row>
    <row r="18" spans="1:10" ht="15.75" customHeight="1" x14ac:dyDescent="0.25">
      <c r="A18">
        <v>6</v>
      </c>
      <c r="B18" s="7" t="s">
        <v>31</v>
      </c>
      <c r="E18" s="7"/>
      <c r="G18" s="15">
        <f>690.93+3066+571.2+3877.2+727.8</f>
        <v>8933.1299999999992</v>
      </c>
      <c r="I18" s="7"/>
    </row>
    <row r="19" spans="1:10" ht="15.75" customHeight="1" x14ac:dyDescent="0.25">
      <c r="A19">
        <v>7</v>
      </c>
      <c r="B19" s="7" t="s">
        <v>40</v>
      </c>
      <c r="G19" s="15">
        <f>(8769.9*6)+(4384.95*6)</f>
        <v>78929.099999999991</v>
      </c>
    </row>
    <row r="20" spans="1:10" ht="15.75" customHeight="1" x14ac:dyDescent="0.25">
      <c r="A20">
        <v>8</v>
      </c>
      <c r="B20" s="7" t="s">
        <v>64</v>
      </c>
      <c r="E20" s="7"/>
      <c r="G20" s="6">
        <v>1950</v>
      </c>
    </row>
    <row r="21" spans="1:10" ht="15.75" customHeight="1" x14ac:dyDescent="0.25">
      <c r="A21">
        <v>9</v>
      </c>
      <c r="B21" s="7" t="s">
        <v>41</v>
      </c>
      <c r="G21" s="15">
        <f>2923.3*12</f>
        <v>35079.600000000006</v>
      </c>
    </row>
    <row r="22" spans="1:10" ht="15.75" customHeight="1" x14ac:dyDescent="0.25">
      <c r="A22">
        <v>10</v>
      </c>
      <c r="B22" s="7" t="s">
        <v>3</v>
      </c>
      <c r="E22" s="7" t="s">
        <v>1</v>
      </c>
      <c r="G22" s="15">
        <f>2211+2283.67+219.9+196.08+979.9+193.69+66+889+411.44</f>
        <v>7450.6799999999985</v>
      </c>
    </row>
    <row r="23" spans="1:10" ht="15.75" customHeight="1" x14ac:dyDescent="0.25">
      <c r="B23" s="7"/>
      <c r="E23" s="7"/>
      <c r="G23" s="23"/>
    </row>
    <row r="24" spans="1:10" ht="15.75" customHeight="1" x14ac:dyDescent="0.25">
      <c r="B24" s="4" t="s">
        <v>0</v>
      </c>
      <c r="G24" s="24">
        <f>SUM(G13:G23)</f>
        <v>381726.97999999992</v>
      </c>
    </row>
    <row r="25" spans="1:10" ht="15.75" customHeight="1" x14ac:dyDescent="0.25">
      <c r="G25" s="2"/>
    </row>
    <row r="26" spans="1:10" ht="15.75" customHeight="1" x14ac:dyDescent="0.25">
      <c r="A26">
        <v>14</v>
      </c>
      <c r="B26" s="7" t="s">
        <v>37</v>
      </c>
      <c r="E26" s="7"/>
      <c r="G26" s="6">
        <v>3750</v>
      </c>
    </row>
    <row r="27" spans="1:10" ht="15.75" customHeight="1" x14ac:dyDescent="0.25">
      <c r="A27">
        <v>15</v>
      </c>
      <c r="B27" s="7" t="s">
        <v>38</v>
      </c>
      <c r="E27" s="7"/>
      <c r="G27" s="6">
        <v>730.83</v>
      </c>
    </row>
    <row r="28" spans="1:10" ht="15.75" customHeight="1" x14ac:dyDescent="0.25">
      <c r="A28">
        <v>16</v>
      </c>
      <c r="B28" s="7" t="s">
        <v>5</v>
      </c>
      <c r="E28" s="7"/>
      <c r="G28" s="6">
        <v>22480</v>
      </c>
    </row>
    <row r="29" spans="1:10" ht="15.75" customHeight="1" x14ac:dyDescent="0.25">
      <c r="A29">
        <v>17</v>
      </c>
      <c r="B29" s="7" t="s">
        <v>2</v>
      </c>
      <c r="E29" s="7" t="s">
        <v>1</v>
      </c>
      <c r="G29" s="6">
        <f>4384.95*12</f>
        <v>52619.399999999994</v>
      </c>
    </row>
    <row r="30" spans="1:10" ht="15.75" customHeight="1" x14ac:dyDescent="0.25">
      <c r="B30" s="4"/>
      <c r="G30" s="6"/>
    </row>
    <row r="31" spans="1:10" ht="12.6" customHeight="1" x14ac:dyDescent="0.25">
      <c r="B31" s="4" t="s">
        <v>0</v>
      </c>
      <c r="G31" s="5">
        <f>SUM(G13:G30)</f>
        <v>843034.18999999983</v>
      </c>
    </row>
    <row r="32" spans="1:10" ht="12.6" customHeight="1" x14ac:dyDescent="0.25">
      <c r="B32" s="4"/>
      <c r="G32" s="5"/>
      <c r="J32" s="4"/>
    </row>
    <row r="33" spans="2:7" ht="12.6" customHeight="1" x14ac:dyDescent="0.25">
      <c r="G33" s="3"/>
    </row>
    <row r="34" spans="2:7" ht="12.6" customHeight="1" x14ac:dyDescent="0.25">
      <c r="G34" s="3"/>
    </row>
    <row r="35" spans="2:7" ht="12.6" customHeight="1" x14ac:dyDescent="0.25">
      <c r="G35" s="2"/>
    </row>
    <row r="36" spans="2:7" ht="12.6" customHeight="1" x14ac:dyDescent="0.25"/>
    <row r="37" spans="2:7" ht="12.6" customHeight="1" x14ac:dyDescent="0.25"/>
    <row r="38" spans="2:7" ht="12.6" customHeight="1" x14ac:dyDescent="0.25"/>
    <row r="39" spans="2:7" ht="12.6" customHeight="1" x14ac:dyDescent="0.25"/>
    <row r="40" spans="2:7" ht="12.6" customHeight="1" x14ac:dyDescent="0.25"/>
    <row r="42" spans="2:7" ht="18.75" x14ac:dyDescent="0.3">
      <c r="B42" s="1"/>
    </row>
    <row r="44" spans="2:7" ht="18.75" x14ac:dyDescent="0.3">
      <c r="B44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26" sqref="A26:G31"/>
    </sheetView>
  </sheetViews>
  <sheetFormatPr defaultRowHeight="15" x14ac:dyDescent="0.25"/>
  <cols>
    <col min="1" max="1" width="5.7109375" customWidth="1"/>
    <col min="2" max="2" width="65.28515625" customWidth="1"/>
    <col min="3" max="6" width="0" hidden="1" customWidth="1"/>
    <col min="7" max="7" width="16.28515625" customWidth="1"/>
    <col min="12" max="12" width="34.85546875" customWidth="1"/>
  </cols>
  <sheetData>
    <row r="1" spans="1:11" ht="18.75" x14ac:dyDescent="0.3">
      <c r="B1" s="14" t="s">
        <v>27</v>
      </c>
    </row>
    <row r="2" spans="1:11" ht="18.75" x14ac:dyDescent="0.3">
      <c r="B2" s="13" t="s">
        <v>26</v>
      </c>
    </row>
    <row r="3" spans="1:11" ht="18.75" x14ac:dyDescent="0.3">
      <c r="B3" s="13" t="s">
        <v>25</v>
      </c>
    </row>
    <row r="4" spans="1:11" ht="18.75" x14ac:dyDescent="0.3">
      <c r="B4" s="13" t="s">
        <v>65</v>
      </c>
    </row>
    <row r="6" spans="1:11" ht="18.75" x14ac:dyDescent="0.3">
      <c r="B6" s="12" t="s">
        <v>23</v>
      </c>
    </row>
    <row r="8" spans="1:11" x14ac:dyDescent="0.25">
      <c r="G8" s="11" t="s">
        <v>22</v>
      </c>
    </row>
    <row r="9" spans="1:11" ht="18.75" x14ac:dyDescent="0.3">
      <c r="B9" s="9" t="s">
        <v>21</v>
      </c>
      <c r="G9" s="5">
        <f>G25</f>
        <v>552244.97000000009</v>
      </c>
    </row>
    <row r="10" spans="1:11" x14ac:dyDescent="0.25">
      <c r="G10" s="8"/>
    </row>
    <row r="11" spans="1:11" ht="18.75" x14ac:dyDescent="0.3">
      <c r="B11" s="9" t="s">
        <v>20</v>
      </c>
      <c r="G11" s="8"/>
    </row>
    <row r="12" spans="1:11" ht="18.75" x14ac:dyDescent="0.3">
      <c r="B12" s="9" t="s">
        <v>19</v>
      </c>
      <c r="G12" s="8"/>
    </row>
    <row r="13" spans="1:11" ht="15.75" customHeight="1" x14ac:dyDescent="0.25">
      <c r="A13">
        <v>1</v>
      </c>
      <c r="B13" s="7" t="s">
        <v>18</v>
      </c>
      <c r="G13" s="15">
        <f>7.2*3124.8*12</f>
        <v>269982.72000000003</v>
      </c>
      <c r="H13" s="7"/>
      <c r="K13" s="2"/>
    </row>
    <row r="14" spans="1:11" ht="15.75" customHeight="1" x14ac:dyDescent="0.25">
      <c r="A14">
        <v>2</v>
      </c>
      <c r="B14" s="7" t="s">
        <v>29</v>
      </c>
      <c r="G14" s="15">
        <f>3124.8*1*12</f>
        <v>37497.600000000006</v>
      </c>
    </row>
    <row r="15" spans="1:11" ht="15.75" customHeight="1" x14ac:dyDescent="0.25">
      <c r="A15">
        <v>3</v>
      </c>
      <c r="B15" s="7" t="s">
        <v>17</v>
      </c>
      <c r="E15" s="7" t="s">
        <v>16</v>
      </c>
      <c r="G15" s="15">
        <f>3124.8*0.4*10</f>
        <v>12499.2</v>
      </c>
    </row>
    <row r="16" spans="1:11" ht="15.75" customHeight="1" x14ac:dyDescent="0.25">
      <c r="A16">
        <v>4</v>
      </c>
      <c r="B16" s="7" t="s">
        <v>42</v>
      </c>
      <c r="E16" s="7"/>
      <c r="G16" s="15">
        <f>6249.6*12</f>
        <v>74995.200000000012</v>
      </c>
      <c r="J16" s="7"/>
    </row>
    <row r="17" spans="1:10" ht="15.75" customHeight="1" x14ac:dyDescent="0.25">
      <c r="A17">
        <v>5</v>
      </c>
      <c r="B17" s="7" t="s">
        <v>11</v>
      </c>
      <c r="E17" s="7"/>
      <c r="G17" s="15">
        <v>2500</v>
      </c>
    </row>
    <row r="18" spans="1:10" ht="15.75" customHeight="1" x14ac:dyDescent="0.25">
      <c r="A18">
        <v>6</v>
      </c>
      <c r="B18" s="7" t="s">
        <v>15</v>
      </c>
      <c r="G18" s="15">
        <f>8769.9*3+8185.24+5846.6*6+8769.9*2</f>
        <v>87114.340000000011</v>
      </c>
      <c r="I18" s="7"/>
    </row>
    <row r="19" spans="1:10" ht="15.75" customHeight="1" x14ac:dyDescent="0.25">
      <c r="A19">
        <v>7</v>
      </c>
      <c r="B19" s="7" t="s">
        <v>41</v>
      </c>
      <c r="G19" s="15">
        <f>4093*12</f>
        <v>49116</v>
      </c>
    </row>
    <row r="20" spans="1:10" ht="15.75" customHeight="1" x14ac:dyDescent="0.25">
      <c r="A20">
        <v>8</v>
      </c>
      <c r="B20" s="7" t="s">
        <v>66</v>
      </c>
      <c r="G20" s="15">
        <v>6800</v>
      </c>
    </row>
    <row r="21" spans="1:10" ht="15.75" customHeight="1" x14ac:dyDescent="0.25">
      <c r="A21">
        <v>9</v>
      </c>
      <c r="B21" s="7" t="s">
        <v>67</v>
      </c>
      <c r="E21" s="7"/>
      <c r="G21" s="15">
        <f>650+3250+1300+650</f>
        <v>5850</v>
      </c>
    </row>
    <row r="22" spans="1:10" ht="15.75" customHeight="1" x14ac:dyDescent="0.25">
      <c r="A22">
        <v>10</v>
      </c>
      <c r="B22" s="7" t="s">
        <v>3</v>
      </c>
      <c r="E22" s="7" t="s">
        <v>1</v>
      </c>
      <c r="G22" s="15">
        <f>92.69+901.7+963.4+258.87+330.1+121.99+365.05+731.61+382.81+687.57+1013.12+41</f>
        <v>5889.91</v>
      </c>
    </row>
    <row r="23" spans="1:10" ht="15.75" customHeight="1" x14ac:dyDescent="0.25">
      <c r="B23" s="7"/>
      <c r="E23" s="7"/>
      <c r="G23" s="15"/>
    </row>
    <row r="24" spans="1:10" ht="15.75" customHeight="1" x14ac:dyDescent="0.25">
      <c r="B24" s="7"/>
      <c r="E24" s="7"/>
      <c r="G24" s="23"/>
    </row>
    <row r="25" spans="1:10" ht="15.75" customHeight="1" x14ac:dyDescent="0.25">
      <c r="B25" s="4" t="s">
        <v>0</v>
      </c>
      <c r="G25" s="24">
        <f>SUM(G13:G24)</f>
        <v>552244.97000000009</v>
      </c>
    </row>
    <row r="26" spans="1:10" ht="15.75" customHeight="1" x14ac:dyDescent="0.25">
      <c r="B26" s="7"/>
      <c r="E26" s="7"/>
      <c r="G26" s="6"/>
    </row>
    <row r="27" spans="1:10" ht="15.75" customHeight="1" x14ac:dyDescent="0.25">
      <c r="B27" s="7"/>
      <c r="E27" s="7"/>
      <c r="G27" s="6"/>
    </row>
    <row r="28" spans="1:10" ht="15.75" customHeight="1" x14ac:dyDescent="0.25">
      <c r="B28" s="7"/>
      <c r="E28" s="7"/>
      <c r="G28" s="6"/>
    </row>
    <row r="29" spans="1:10" ht="15.75" customHeight="1" x14ac:dyDescent="0.25">
      <c r="B29" s="7"/>
      <c r="E29" s="7"/>
      <c r="G29" s="6"/>
    </row>
    <row r="30" spans="1:10" ht="15.75" customHeight="1" x14ac:dyDescent="0.25">
      <c r="B30" s="4"/>
      <c r="G30" s="6"/>
    </row>
    <row r="31" spans="1:10" ht="12.6" customHeight="1" x14ac:dyDescent="0.25">
      <c r="B31" s="4"/>
      <c r="G31" s="5"/>
    </row>
    <row r="32" spans="1:10" ht="12.6" customHeight="1" x14ac:dyDescent="0.25">
      <c r="B32" s="4"/>
      <c r="G32" s="5"/>
      <c r="J32" s="4"/>
    </row>
    <row r="33" spans="2:7" ht="12.6" customHeight="1" x14ac:dyDescent="0.25">
      <c r="G33" s="3"/>
    </row>
    <row r="34" spans="2:7" ht="12.6" customHeight="1" x14ac:dyDescent="0.25">
      <c r="G34" s="3"/>
    </row>
    <row r="35" spans="2:7" ht="12.6" customHeight="1" x14ac:dyDescent="0.25">
      <c r="G35" s="2"/>
    </row>
    <row r="36" spans="2:7" ht="12.6" customHeight="1" x14ac:dyDescent="0.25"/>
    <row r="37" spans="2:7" ht="12.6" customHeight="1" x14ac:dyDescent="0.25"/>
    <row r="38" spans="2:7" ht="12.6" customHeight="1" x14ac:dyDescent="0.25"/>
    <row r="39" spans="2:7" ht="12.6" customHeight="1" x14ac:dyDescent="0.25"/>
    <row r="40" spans="2:7" ht="12.6" customHeight="1" x14ac:dyDescent="0.25"/>
    <row r="42" spans="2:7" ht="18.75" x14ac:dyDescent="0.3">
      <c r="B42" s="1"/>
    </row>
    <row r="44" spans="2:7" ht="18.75" x14ac:dyDescent="0.3">
      <c r="B44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J33" sqref="J33"/>
    </sheetView>
  </sheetViews>
  <sheetFormatPr defaultRowHeight="15" x14ac:dyDescent="0.25"/>
  <cols>
    <col min="1" max="1" width="5.7109375" customWidth="1"/>
    <col min="2" max="2" width="65.28515625" customWidth="1"/>
    <col min="3" max="6" width="0" hidden="1" customWidth="1"/>
    <col min="7" max="7" width="16.28515625" customWidth="1"/>
    <col min="12" max="12" width="34.85546875" customWidth="1"/>
  </cols>
  <sheetData>
    <row r="1" spans="1:11" ht="18.75" x14ac:dyDescent="0.3">
      <c r="B1" s="14" t="s">
        <v>27</v>
      </c>
    </row>
    <row r="2" spans="1:11" ht="18.75" x14ac:dyDescent="0.3">
      <c r="B2" s="13" t="s">
        <v>26</v>
      </c>
    </row>
    <row r="3" spans="1:11" ht="18.75" x14ac:dyDescent="0.3">
      <c r="B3" s="13" t="s">
        <v>25</v>
      </c>
    </row>
    <row r="4" spans="1:11" ht="18.75" x14ac:dyDescent="0.3">
      <c r="B4" s="13" t="s">
        <v>68</v>
      </c>
    </row>
    <row r="6" spans="1:11" ht="18.75" x14ac:dyDescent="0.3">
      <c r="B6" s="12" t="s">
        <v>23</v>
      </c>
    </row>
    <row r="8" spans="1:11" x14ac:dyDescent="0.25">
      <c r="G8" s="11" t="s">
        <v>22</v>
      </c>
    </row>
    <row r="9" spans="1:11" ht="18.75" x14ac:dyDescent="0.3">
      <c r="B9" s="9" t="s">
        <v>21</v>
      </c>
      <c r="G9" s="10">
        <f>G21</f>
        <v>104409.97000000002</v>
      </c>
    </row>
    <row r="10" spans="1:11" x14ac:dyDescent="0.25">
      <c r="G10" s="8"/>
    </row>
    <row r="11" spans="1:11" ht="18.75" x14ac:dyDescent="0.3">
      <c r="B11" s="9" t="s">
        <v>20</v>
      </c>
      <c r="G11" s="8"/>
    </row>
    <row r="12" spans="1:11" ht="18.75" x14ac:dyDescent="0.3">
      <c r="B12" s="9" t="s">
        <v>19</v>
      </c>
      <c r="G12" s="8"/>
    </row>
    <row r="13" spans="1:11" ht="15.75" customHeight="1" x14ac:dyDescent="0.25">
      <c r="A13">
        <v>1</v>
      </c>
      <c r="B13" s="7" t="s">
        <v>18</v>
      </c>
      <c r="G13" s="6">
        <f>845*6.15*12</f>
        <v>62361</v>
      </c>
      <c r="H13" s="7"/>
      <c r="K13" s="2"/>
    </row>
    <row r="14" spans="1:11" ht="15.75" customHeight="1" x14ac:dyDescent="0.25">
      <c r="A14">
        <v>2</v>
      </c>
      <c r="B14" s="7" t="s">
        <v>29</v>
      </c>
      <c r="G14" s="6">
        <f>845*0.5*12</f>
        <v>5070</v>
      </c>
    </row>
    <row r="15" spans="1:11" ht="15.75" customHeight="1" x14ac:dyDescent="0.25">
      <c r="A15">
        <v>3</v>
      </c>
      <c r="B15" s="7" t="s">
        <v>17</v>
      </c>
      <c r="E15" s="7" t="s">
        <v>16</v>
      </c>
      <c r="G15" s="6">
        <f>845*0.4*12</f>
        <v>4056</v>
      </c>
    </row>
    <row r="16" spans="1:11" ht="15.75" customHeight="1" x14ac:dyDescent="0.25">
      <c r="A16">
        <v>4</v>
      </c>
      <c r="B16" s="7" t="s">
        <v>15</v>
      </c>
      <c r="G16" s="6">
        <f>2192.48*12</f>
        <v>26309.760000000002</v>
      </c>
      <c r="J16" s="7"/>
    </row>
    <row r="17" spans="1:10" ht="15.75" customHeight="1" x14ac:dyDescent="0.25">
      <c r="A17">
        <v>5</v>
      </c>
      <c r="B17" s="7" t="s">
        <v>69</v>
      </c>
      <c r="G17" s="6">
        <v>2000</v>
      </c>
    </row>
    <row r="18" spans="1:10" ht="15.75" customHeight="1" x14ac:dyDescent="0.25">
      <c r="A18">
        <v>6</v>
      </c>
      <c r="B18" s="7" t="s">
        <v>3</v>
      </c>
      <c r="E18" s="7" t="s">
        <v>1</v>
      </c>
      <c r="G18" s="6">
        <f>59.97+260.94+295.4+1259.9+475+62</f>
        <v>2413.21</v>
      </c>
      <c r="I18" s="7"/>
    </row>
    <row r="19" spans="1:10" ht="15.75" customHeight="1" x14ac:dyDescent="0.25">
      <c r="A19">
        <v>7</v>
      </c>
      <c r="B19" s="7" t="s">
        <v>70</v>
      </c>
      <c r="E19" s="7"/>
      <c r="G19" s="6">
        <v>2200</v>
      </c>
    </row>
    <row r="20" spans="1:10" ht="15.75" customHeight="1" x14ac:dyDescent="0.25">
      <c r="B20" s="4"/>
      <c r="G20" s="6"/>
    </row>
    <row r="21" spans="1:10" ht="15.75" customHeight="1" x14ac:dyDescent="0.25">
      <c r="B21" s="4" t="s">
        <v>0</v>
      </c>
      <c r="G21" s="5">
        <f>SUM(G13:G20)</f>
        <v>104409.97000000002</v>
      </c>
    </row>
    <row r="22" spans="1:10" ht="15.75" customHeight="1" x14ac:dyDescent="0.25">
      <c r="A22">
        <v>10</v>
      </c>
      <c r="B22" s="7" t="s">
        <v>3</v>
      </c>
      <c r="E22" s="7" t="s">
        <v>1</v>
      </c>
      <c r="G22" s="15">
        <f>92.69+901.7+963.4+258.87+330.1+121.99+365.05+731.61+382.81+687.57+1013.12+41</f>
        <v>5889.91</v>
      </c>
    </row>
    <row r="23" spans="1:10" ht="15.75" customHeight="1" x14ac:dyDescent="0.25">
      <c r="B23" s="7"/>
      <c r="E23" s="7"/>
      <c r="G23" s="15"/>
    </row>
    <row r="24" spans="1:10" ht="15.75" customHeight="1" x14ac:dyDescent="0.25">
      <c r="B24" s="7"/>
      <c r="E24" s="7"/>
      <c r="G24" s="23"/>
    </row>
    <row r="25" spans="1:10" ht="15.75" customHeight="1" x14ac:dyDescent="0.25">
      <c r="B25" s="4" t="s">
        <v>0</v>
      </c>
      <c r="G25" s="24">
        <f>SUM(G13:G24)</f>
        <v>214709.85000000003</v>
      </c>
    </row>
    <row r="26" spans="1:10" ht="15.75" customHeight="1" x14ac:dyDescent="0.25">
      <c r="B26" s="7"/>
      <c r="E26" s="7"/>
      <c r="G26" s="6"/>
    </row>
    <row r="27" spans="1:10" ht="15.75" customHeight="1" x14ac:dyDescent="0.25">
      <c r="B27" s="7"/>
      <c r="E27" s="7"/>
      <c r="G27" s="6"/>
    </row>
    <row r="28" spans="1:10" ht="15.75" customHeight="1" x14ac:dyDescent="0.25">
      <c r="B28" s="7"/>
      <c r="E28" s="7"/>
      <c r="G28" s="6"/>
    </row>
    <row r="29" spans="1:10" ht="15.75" customHeight="1" x14ac:dyDescent="0.25">
      <c r="B29" s="7"/>
      <c r="E29" s="7"/>
      <c r="G29" s="6"/>
    </row>
    <row r="30" spans="1:10" ht="15.75" customHeight="1" x14ac:dyDescent="0.25">
      <c r="B30" s="4"/>
      <c r="G30" s="6"/>
    </row>
    <row r="31" spans="1:10" ht="12.6" customHeight="1" x14ac:dyDescent="0.25">
      <c r="B31" s="4"/>
      <c r="G31" s="5"/>
    </row>
    <row r="32" spans="1:10" ht="12.6" customHeight="1" x14ac:dyDescent="0.25">
      <c r="B32" s="4"/>
      <c r="G32" s="5"/>
      <c r="J32" s="4"/>
    </row>
    <row r="33" spans="2:7" ht="12.6" customHeight="1" x14ac:dyDescent="0.25">
      <c r="G33" s="3"/>
    </row>
    <row r="34" spans="2:7" ht="12.6" customHeight="1" x14ac:dyDescent="0.25">
      <c r="G34" s="3"/>
    </row>
    <row r="35" spans="2:7" ht="12.6" customHeight="1" x14ac:dyDescent="0.25">
      <c r="G35" s="2"/>
    </row>
    <row r="36" spans="2:7" ht="12.6" customHeight="1" x14ac:dyDescent="0.25"/>
    <row r="37" spans="2:7" ht="12.6" customHeight="1" x14ac:dyDescent="0.25"/>
    <row r="38" spans="2:7" ht="12.6" customHeight="1" x14ac:dyDescent="0.25"/>
    <row r="39" spans="2:7" ht="12.6" customHeight="1" x14ac:dyDescent="0.25"/>
    <row r="40" spans="2:7" ht="12.6" customHeight="1" x14ac:dyDescent="0.25"/>
    <row r="42" spans="2:7" ht="18.75" x14ac:dyDescent="0.3">
      <c r="B42" s="1"/>
    </row>
    <row r="44" spans="2:7" ht="18.75" x14ac:dyDescent="0.3">
      <c r="B44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4" workbookViewId="0">
      <selection activeCell="K36" sqref="K36"/>
    </sheetView>
  </sheetViews>
  <sheetFormatPr defaultRowHeight="15" x14ac:dyDescent="0.25"/>
  <cols>
    <col min="1" max="1" width="5.7109375" customWidth="1"/>
    <col min="2" max="2" width="65.28515625" customWidth="1"/>
    <col min="3" max="6" width="0" hidden="1" customWidth="1"/>
    <col min="7" max="7" width="16.28515625" customWidth="1"/>
    <col min="12" max="12" width="34.85546875" customWidth="1"/>
  </cols>
  <sheetData>
    <row r="1" spans="1:11" ht="18.75" x14ac:dyDescent="0.3">
      <c r="B1" s="14" t="s">
        <v>27</v>
      </c>
    </row>
    <row r="2" spans="1:11" ht="18.75" x14ac:dyDescent="0.3">
      <c r="B2" s="13" t="s">
        <v>26</v>
      </c>
    </row>
    <row r="3" spans="1:11" ht="18.75" x14ac:dyDescent="0.3">
      <c r="B3" s="13" t="s">
        <v>25</v>
      </c>
    </row>
    <row r="4" spans="1:11" ht="18.75" x14ac:dyDescent="0.3">
      <c r="B4" s="13" t="s">
        <v>71</v>
      </c>
    </row>
    <row r="6" spans="1:11" ht="18.75" x14ac:dyDescent="0.3">
      <c r="B6" s="12" t="s">
        <v>72</v>
      </c>
    </row>
    <row r="8" spans="1:11" x14ac:dyDescent="0.25">
      <c r="G8" s="11" t="s">
        <v>22</v>
      </c>
    </row>
    <row r="9" spans="1:11" ht="18.75" x14ac:dyDescent="0.3">
      <c r="B9" s="9" t="s">
        <v>21</v>
      </c>
      <c r="G9" s="10">
        <f>G18</f>
        <v>176872.83999999997</v>
      </c>
    </row>
    <row r="10" spans="1:11" x14ac:dyDescent="0.25">
      <c r="G10" s="8"/>
    </row>
    <row r="11" spans="1:11" ht="18.75" x14ac:dyDescent="0.3">
      <c r="B11" s="9" t="s">
        <v>20</v>
      </c>
      <c r="G11" s="8"/>
    </row>
    <row r="12" spans="1:11" ht="18.75" x14ac:dyDescent="0.3">
      <c r="B12" s="9" t="s">
        <v>19</v>
      </c>
      <c r="G12" s="8"/>
    </row>
    <row r="13" spans="1:11" ht="15.75" customHeight="1" x14ac:dyDescent="0.25">
      <c r="A13">
        <v>1</v>
      </c>
      <c r="B13" s="7" t="s">
        <v>18</v>
      </c>
      <c r="G13" s="6">
        <f>3830.7*8*3</f>
        <v>91936.799999999988</v>
      </c>
      <c r="H13" s="7"/>
      <c r="K13" s="2"/>
    </row>
    <row r="14" spans="1:11" ht="15.75" customHeight="1" x14ac:dyDescent="0.25">
      <c r="A14">
        <v>2</v>
      </c>
      <c r="B14" s="7" t="s">
        <v>29</v>
      </c>
      <c r="G14" s="6">
        <f>3830.7*2*3</f>
        <v>22984.199999999997</v>
      </c>
    </row>
    <row r="15" spans="1:11" ht="15.75" customHeight="1" x14ac:dyDescent="0.25">
      <c r="A15">
        <v>3</v>
      </c>
      <c r="B15" s="7" t="s">
        <v>17</v>
      </c>
      <c r="E15" s="7" t="s">
        <v>16</v>
      </c>
      <c r="G15" s="6">
        <f>3830.7*0.4*3</f>
        <v>4596.84</v>
      </c>
    </row>
    <row r="16" spans="1:11" ht="15.75" customHeight="1" x14ac:dyDescent="0.25">
      <c r="A16">
        <v>4</v>
      </c>
      <c r="B16" s="7" t="s">
        <v>73</v>
      </c>
      <c r="G16" s="6">
        <f>7684+14473.5+14379+20818.5</f>
        <v>57355</v>
      </c>
      <c r="J16" s="7"/>
    </row>
    <row r="17" spans="1:10" ht="15.75" customHeight="1" x14ac:dyDescent="0.25">
      <c r="B17" s="7"/>
      <c r="G17" s="6"/>
    </row>
    <row r="18" spans="1:10" ht="15.75" customHeight="1" x14ac:dyDescent="0.25">
      <c r="B18" s="4" t="s">
        <v>0</v>
      </c>
      <c r="G18" s="5">
        <f>SUM(G13:G17)</f>
        <v>176872.83999999997</v>
      </c>
      <c r="I18" s="7"/>
    </row>
    <row r="19" spans="1:10" ht="15.75" customHeight="1" x14ac:dyDescent="0.25">
      <c r="G19" s="6"/>
    </row>
    <row r="20" spans="1:10" ht="15.75" customHeight="1" x14ac:dyDescent="0.25">
      <c r="G20" s="6"/>
    </row>
    <row r="21" spans="1:10" ht="15.75" customHeight="1" x14ac:dyDescent="0.25">
      <c r="G21" s="6"/>
    </row>
    <row r="22" spans="1:10" ht="15.75" customHeight="1" x14ac:dyDescent="0.3">
      <c r="B22" s="22" t="s">
        <v>47</v>
      </c>
      <c r="C22" s="16"/>
      <c r="D22" s="16"/>
      <c r="E22" s="16"/>
      <c r="F22" s="16"/>
      <c r="G22" s="20"/>
    </row>
    <row r="23" spans="1:10" ht="15.75" customHeight="1" x14ac:dyDescent="0.25">
      <c r="B23" s="17" t="s">
        <v>74</v>
      </c>
      <c r="C23" s="16"/>
      <c r="D23" s="16"/>
      <c r="E23" s="16"/>
      <c r="F23" s="16"/>
      <c r="G23" s="20"/>
    </row>
    <row r="24" spans="1:10" ht="15.75" customHeight="1" x14ac:dyDescent="0.25">
      <c r="A24" s="2"/>
      <c r="B24" s="19" t="s">
        <v>49</v>
      </c>
      <c r="C24" s="19"/>
      <c r="D24" s="19"/>
      <c r="E24" s="19"/>
      <c r="F24" s="19"/>
      <c r="G24" s="20">
        <f>3830.7*2*3</f>
        <v>22984.199999999997</v>
      </c>
    </row>
    <row r="25" spans="1:10" ht="15.75" customHeight="1" x14ac:dyDescent="0.25">
      <c r="A25" s="2"/>
      <c r="B25" s="19"/>
      <c r="C25" s="19"/>
      <c r="D25" s="19"/>
      <c r="E25" s="19"/>
      <c r="F25" s="19"/>
      <c r="G25" s="20"/>
    </row>
    <row r="26" spans="1:10" ht="15.75" customHeight="1" x14ac:dyDescent="0.25">
      <c r="B26" s="19" t="s">
        <v>50</v>
      </c>
      <c r="C26" s="19"/>
      <c r="D26" s="19"/>
      <c r="E26" s="19"/>
      <c r="F26" s="19"/>
      <c r="G26" s="20"/>
    </row>
    <row r="27" spans="1:10" ht="15.75" customHeight="1" x14ac:dyDescent="0.25">
      <c r="A27">
        <v>1</v>
      </c>
      <c r="B27" s="7" t="s">
        <v>3</v>
      </c>
      <c r="E27" s="7" t="s">
        <v>1</v>
      </c>
      <c r="G27" s="6">
        <v>4082.51</v>
      </c>
    </row>
    <row r="28" spans="1:10" ht="15.75" customHeight="1" x14ac:dyDescent="0.25">
      <c r="B28" s="17"/>
      <c r="C28" s="19"/>
      <c r="D28" s="19"/>
      <c r="E28" s="19"/>
      <c r="F28" s="19"/>
      <c r="G28" s="20"/>
    </row>
    <row r="29" spans="1:10" ht="15.75" customHeight="1" x14ac:dyDescent="0.25">
      <c r="B29" s="17" t="s">
        <v>60</v>
      </c>
      <c r="C29" s="19"/>
      <c r="D29" s="19"/>
      <c r="E29" s="19"/>
      <c r="F29" s="19"/>
      <c r="G29" s="20">
        <f>SUM(G28:G28)</f>
        <v>0</v>
      </c>
    </row>
    <row r="30" spans="1:10" ht="15.75" customHeight="1" x14ac:dyDescent="0.25">
      <c r="B30" s="19"/>
      <c r="C30" s="19"/>
      <c r="D30" s="19"/>
      <c r="E30" s="19"/>
      <c r="F30" s="19"/>
      <c r="G30" s="20"/>
    </row>
    <row r="31" spans="1:10" ht="12.6" customHeight="1" x14ac:dyDescent="0.25">
      <c r="B31" s="19" t="s">
        <v>61</v>
      </c>
      <c r="C31" s="19"/>
      <c r="D31" s="19"/>
      <c r="E31" s="19"/>
      <c r="F31" s="19"/>
      <c r="G31" s="20">
        <f>G24-G27</f>
        <v>18901.689999999995</v>
      </c>
    </row>
    <row r="32" spans="1:10" ht="12.6" customHeight="1" x14ac:dyDescent="0.25">
      <c r="B32" s="4"/>
      <c r="G32" s="5"/>
      <c r="J32" s="4"/>
    </row>
    <row r="33" spans="2:7" ht="12.6" customHeight="1" x14ac:dyDescent="0.25">
      <c r="G33" s="3"/>
    </row>
    <row r="34" spans="2:7" ht="12.6" customHeight="1" x14ac:dyDescent="0.25">
      <c r="G34" s="3"/>
    </row>
    <row r="35" spans="2:7" ht="12.6" customHeight="1" x14ac:dyDescent="0.25">
      <c r="G35" s="2"/>
    </row>
    <row r="36" spans="2:7" ht="12.6" customHeight="1" x14ac:dyDescent="0.25"/>
    <row r="37" spans="2:7" ht="12.6" customHeight="1" x14ac:dyDescent="0.25"/>
    <row r="38" spans="2:7" ht="12.6" customHeight="1" x14ac:dyDescent="0.25"/>
    <row r="39" spans="2:7" ht="12.6" customHeight="1" x14ac:dyDescent="0.25"/>
    <row r="40" spans="2:7" ht="12.6" customHeight="1" x14ac:dyDescent="0.25"/>
    <row r="42" spans="2:7" ht="18.75" x14ac:dyDescent="0.3">
      <c r="B42" s="1"/>
    </row>
    <row r="44" spans="2:7" ht="18.75" x14ac:dyDescent="0.3">
      <c r="B44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L30" sqref="L30"/>
    </sheetView>
  </sheetViews>
  <sheetFormatPr defaultRowHeight="15" x14ac:dyDescent="0.25"/>
  <cols>
    <col min="1" max="1" width="5.7109375" customWidth="1"/>
    <col min="2" max="2" width="65.28515625" customWidth="1"/>
    <col min="3" max="6" width="0" hidden="1" customWidth="1"/>
    <col min="7" max="7" width="16.28515625" customWidth="1"/>
    <col min="12" max="12" width="34.85546875" customWidth="1"/>
  </cols>
  <sheetData>
    <row r="1" spans="1:11" ht="18.75" x14ac:dyDescent="0.3">
      <c r="B1" s="14" t="s">
        <v>27</v>
      </c>
    </row>
    <row r="2" spans="1:11" ht="18.75" x14ac:dyDescent="0.3">
      <c r="B2" s="13" t="s">
        <v>26</v>
      </c>
    </row>
    <row r="3" spans="1:11" ht="18.75" x14ac:dyDescent="0.3">
      <c r="B3" s="13" t="s">
        <v>25</v>
      </c>
    </row>
    <row r="4" spans="1:11" ht="18.75" x14ac:dyDescent="0.3">
      <c r="B4" s="13" t="s">
        <v>75</v>
      </c>
    </row>
    <row r="6" spans="1:11" ht="18.75" x14ac:dyDescent="0.3">
      <c r="B6" s="12" t="s">
        <v>23</v>
      </c>
    </row>
    <row r="8" spans="1:11" x14ac:dyDescent="0.25">
      <c r="G8" s="11" t="s">
        <v>22</v>
      </c>
    </row>
    <row r="9" spans="1:11" ht="18.75" x14ac:dyDescent="0.3">
      <c r="B9" s="9" t="s">
        <v>21</v>
      </c>
      <c r="G9" s="10">
        <f>G30</f>
        <v>570613.64</v>
      </c>
    </row>
    <row r="10" spans="1:11" x14ac:dyDescent="0.25">
      <c r="G10" s="8"/>
    </row>
    <row r="11" spans="1:11" ht="18.75" x14ac:dyDescent="0.3">
      <c r="B11" s="9" t="s">
        <v>20</v>
      </c>
      <c r="G11" s="8"/>
    </row>
    <row r="12" spans="1:11" ht="18.75" x14ac:dyDescent="0.3">
      <c r="B12" s="9" t="s">
        <v>19</v>
      </c>
      <c r="G12" s="8"/>
    </row>
    <row r="13" spans="1:11" ht="15.75" customHeight="1" x14ac:dyDescent="0.25">
      <c r="A13">
        <v>1</v>
      </c>
      <c r="B13" s="7" t="s">
        <v>18</v>
      </c>
      <c r="G13" s="6">
        <f>3727.3*6.2*12</f>
        <v>277311.12</v>
      </c>
      <c r="H13" s="7"/>
      <c r="K13" s="2"/>
    </row>
    <row r="14" spans="1:11" ht="15.75" customHeight="1" x14ac:dyDescent="0.25">
      <c r="A14">
        <v>2</v>
      </c>
      <c r="B14" s="7" t="s">
        <v>29</v>
      </c>
      <c r="G14" s="6">
        <f>3727.3*1.2*12</f>
        <v>53673.120000000003</v>
      </c>
    </row>
    <row r="15" spans="1:11" ht="15.75" customHeight="1" x14ac:dyDescent="0.25">
      <c r="A15">
        <v>3</v>
      </c>
      <c r="B15" s="7" t="s">
        <v>17</v>
      </c>
      <c r="E15" s="7" t="s">
        <v>16</v>
      </c>
      <c r="G15" s="6">
        <f>1796.3*0.35*12</f>
        <v>7544.4599999999991</v>
      </c>
    </row>
    <row r="16" spans="1:11" ht="15.75" customHeight="1" x14ac:dyDescent="0.25">
      <c r="A16">
        <v>4</v>
      </c>
      <c r="B16" s="7" t="s">
        <v>15</v>
      </c>
      <c r="G16" s="6">
        <f>5520*3+4982.32+2760*6+5520*2</f>
        <v>49142.32</v>
      </c>
      <c r="J16" s="7"/>
    </row>
    <row r="17" spans="1:10" ht="15.75" customHeight="1" x14ac:dyDescent="0.25">
      <c r="A17">
        <v>5</v>
      </c>
      <c r="B17" s="7" t="s">
        <v>14</v>
      </c>
      <c r="G17" s="6">
        <f>5520*12</f>
        <v>66240</v>
      </c>
    </row>
    <row r="18" spans="1:10" ht="15.75" customHeight="1" x14ac:dyDescent="0.25">
      <c r="A18">
        <v>6</v>
      </c>
      <c r="B18" s="7" t="s">
        <v>76</v>
      </c>
      <c r="G18" s="6">
        <v>6000</v>
      </c>
      <c r="I18" s="7"/>
    </row>
    <row r="19" spans="1:10" ht="15.75" customHeight="1" x14ac:dyDescent="0.25">
      <c r="A19">
        <v>7</v>
      </c>
      <c r="B19" s="7" t="s">
        <v>31</v>
      </c>
      <c r="G19" s="6">
        <f>2210.66+1439.1+12001.2+18278.4+571.2+571.2+1501.2+861.6</f>
        <v>37434.55999999999</v>
      </c>
    </row>
    <row r="20" spans="1:10" ht="15.75" customHeight="1" x14ac:dyDescent="0.25">
      <c r="A20">
        <v>8</v>
      </c>
      <c r="B20" s="7" t="s">
        <v>77</v>
      </c>
      <c r="G20" s="6">
        <v>584.66</v>
      </c>
    </row>
    <row r="21" spans="1:10" ht="15.75" customHeight="1" x14ac:dyDescent="0.25">
      <c r="A21">
        <v>9</v>
      </c>
      <c r="B21" s="7" t="s">
        <v>78</v>
      </c>
      <c r="G21" s="6">
        <f>4000+4000+2000+4300</f>
        <v>14300</v>
      </c>
    </row>
    <row r="22" spans="1:10" ht="15.75" customHeight="1" x14ac:dyDescent="0.25">
      <c r="A22">
        <v>10</v>
      </c>
      <c r="B22" s="7" t="s">
        <v>79</v>
      </c>
      <c r="G22" s="6">
        <v>3600</v>
      </c>
    </row>
    <row r="23" spans="1:10" ht="15.75" customHeight="1" x14ac:dyDescent="0.25">
      <c r="A23">
        <v>11</v>
      </c>
      <c r="B23" s="7" t="s">
        <v>80</v>
      </c>
      <c r="G23" s="6">
        <f>5000+5000</f>
        <v>10000</v>
      </c>
    </row>
    <row r="24" spans="1:10" ht="15.75" customHeight="1" x14ac:dyDescent="0.25">
      <c r="A24">
        <v>12</v>
      </c>
      <c r="B24" s="7" t="s">
        <v>81</v>
      </c>
      <c r="E24" s="7"/>
      <c r="G24" s="6">
        <f>1950+650+1950+1300</f>
        <v>5850</v>
      </c>
    </row>
    <row r="25" spans="1:10" ht="15.75" customHeight="1" x14ac:dyDescent="0.25">
      <c r="A25">
        <v>13</v>
      </c>
      <c r="B25" s="7" t="s">
        <v>82</v>
      </c>
      <c r="G25" s="15">
        <f>93*7+87+90*2+90+93</f>
        <v>1101</v>
      </c>
    </row>
    <row r="26" spans="1:10" ht="15.75" customHeight="1" x14ac:dyDescent="0.25">
      <c r="A26">
        <v>14</v>
      </c>
      <c r="B26" s="7" t="s">
        <v>3</v>
      </c>
      <c r="E26" s="7" t="s">
        <v>1</v>
      </c>
      <c r="G26" s="6">
        <f>1471.58+800+1209.73+286.42+1026.87+6098.12+2519.91+12561.58+2577.32+7078.6+465.45+1736.82</f>
        <v>37832.399999999994</v>
      </c>
    </row>
    <row r="27" spans="1:10" ht="15.75" customHeight="1" x14ac:dyDescent="0.25">
      <c r="B27" s="7"/>
      <c r="E27" s="7"/>
      <c r="G27" s="6"/>
    </row>
    <row r="28" spans="1:10" ht="15.75" customHeight="1" x14ac:dyDescent="0.25">
      <c r="B28" s="7"/>
      <c r="E28" s="7"/>
      <c r="G28" s="6"/>
    </row>
    <row r="29" spans="1:10" ht="15.75" customHeight="1" x14ac:dyDescent="0.25">
      <c r="B29" s="4"/>
      <c r="G29" s="6"/>
    </row>
    <row r="30" spans="1:10" ht="15.75" customHeight="1" x14ac:dyDescent="0.25">
      <c r="B30" s="4" t="s">
        <v>0</v>
      </c>
      <c r="G30" s="5">
        <f>SUM(G13:G29)</f>
        <v>570613.64</v>
      </c>
    </row>
    <row r="31" spans="1:10" ht="12.6" customHeight="1" x14ac:dyDescent="0.25">
      <c r="B31" s="19"/>
      <c r="C31" s="19"/>
      <c r="D31" s="19"/>
      <c r="E31" s="19"/>
      <c r="F31" s="19"/>
      <c r="G31" s="20"/>
    </row>
    <row r="32" spans="1:10" ht="12.6" customHeight="1" x14ac:dyDescent="0.25">
      <c r="B32" s="4"/>
      <c r="G32" s="5"/>
      <c r="J32" s="4"/>
    </row>
    <row r="33" spans="2:7" ht="12.6" customHeight="1" x14ac:dyDescent="0.25">
      <c r="G33" s="3"/>
    </row>
    <row r="34" spans="2:7" ht="12.6" customHeight="1" x14ac:dyDescent="0.25">
      <c r="G34" s="3"/>
    </row>
    <row r="35" spans="2:7" ht="12.6" customHeight="1" x14ac:dyDescent="0.25">
      <c r="G35" s="2"/>
    </row>
    <row r="36" spans="2:7" ht="12.6" customHeight="1" x14ac:dyDescent="0.25"/>
    <row r="37" spans="2:7" ht="12.6" customHeight="1" x14ac:dyDescent="0.25"/>
    <row r="38" spans="2:7" ht="12.6" customHeight="1" x14ac:dyDescent="0.25"/>
    <row r="39" spans="2:7" ht="12.6" customHeight="1" x14ac:dyDescent="0.25"/>
    <row r="40" spans="2:7" ht="12.6" customHeight="1" x14ac:dyDescent="0.25"/>
    <row r="42" spans="2:7" ht="18.75" x14ac:dyDescent="0.3">
      <c r="B42" s="1"/>
    </row>
    <row r="44" spans="2:7" ht="18.75" x14ac:dyDescent="0.3">
      <c r="B4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Горбачева 50</vt:lpstr>
      <vt:lpstr>Дерендяева, 44</vt:lpstr>
      <vt:lpstr>Казанская, 90</vt:lpstr>
      <vt:lpstr>Ленина 52Б</vt:lpstr>
      <vt:lpstr>Ленина 114б</vt:lpstr>
      <vt:lpstr>М.Гвардии 11А</vt:lpstr>
      <vt:lpstr>Свободы, 84</vt:lpstr>
      <vt:lpstr>Свободы, 113а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2021-03-17T11:26:11Z</dcterms:created>
  <dcterms:modified xsi:type="dcterms:W3CDTF">2021-10-05T09:21:29Z</dcterms:modified>
</cp:coreProperties>
</file>